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04" windowHeight="8424" activeTab="0"/>
  </bookViews>
  <sheets>
    <sheet name="Read Me First" sheetId="1" r:id="rId1"/>
    <sheet name="Table 6 Current expenses" sheetId="2" r:id="rId2"/>
    <sheet name="Table 7 Current revenues" sheetId="3" r:id="rId3"/>
    <sheet name="Table 17 Stockpiled Wastes" sheetId="4" r:id="rId4"/>
    <sheet name="Table 9 Special Wastes" sheetId="5" r:id="rId5"/>
    <sheet name="Table 10 Diapers" sheetId="6" r:id="rId6"/>
    <sheet name="Table 10 Oil" sheetId="7" r:id="rId7"/>
    <sheet name="Table 10 Antifreeze" sheetId="8" r:id="rId8"/>
    <sheet name="Table 11 Non-Toxic Recyclables" sheetId="9" r:id="rId9"/>
    <sheet name="Table12 Construction" sheetId="10" r:id="rId10"/>
    <sheet name="Table 14 Growth Rate" sheetId="11" r:id="rId11"/>
    <sheet name="Table 23 Long-Term Disposal" sheetId="12" r:id="rId12"/>
    <sheet name="Table 24 Prioritized Actions" sheetId="13" r:id="rId13"/>
    <sheet name="Table 26 Planned Expenses" sheetId="14" r:id="rId14"/>
    <sheet name="Table 27 Planned Revenues" sheetId="15" r:id="rId15"/>
    <sheet name="Sheet1" sheetId="16" r:id="rId16"/>
  </sheets>
  <definedNames>
    <definedName name="_Toc193451750" localSheetId="2">'Table 7 Current revenues'!$A$1</definedName>
    <definedName name="_Toc193451754" localSheetId="8">'Table 11 Non-Toxic Recyclables'!$A$1</definedName>
    <definedName name="_Toc193451765" localSheetId="11">'Table 23 Long-Term Disposal'!$A$1</definedName>
    <definedName name="_Toc193451766" localSheetId="12">'Table 24 Prioritized Actions'!$A$1</definedName>
    <definedName name="_Toc193451769" localSheetId="14">'Table 27 Planned Revenues'!$A$1</definedName>
    <definedName name="_Toc193955582" localSheetId="10">'Table 14 Growth Rate'!$A$1</definedName>
  </definedNames>
  <calcPr fullCalcOnLoad="1"/>
</workbook>
</file>

<file path=xl/comments5.xml><?xml version="1.0" encoding="utf-8"?>
<comments xmlns="http://schemas.openxmlformats.org/spreadsheetml/2006/main">
  <authors>
    <author>Shawna</author>
    <author> Andi</author>
  </authors>
  <commentList>
    <comment ref="C17" authorId="0">
      <text>
        <r>
          <rPr>
            <b/>
            <sz val="8"/>
            <rFont val="Tahoma"/>
            <family val="2"/>
          </rPr>
          <t>Shawna:</t>
        </r>
        <r>
          <rPr>
            <sz val="8"/>
            <rFont val="Tahoma"/>
            <family val="2"/>
          </rPr>
          <t xml:space="preserve">
(1 fridge and 1 freezer)</t>
        </r>
      </text>
    </comment>
    <comment ref="C21" authorId="0">
      <text>
        <r>
          <rPr>
            <b/>
            <sz val="8"/>
            <rFont val="Tahoma"/>
            <family val="2"/>
          </rPr>
          <t>Shawna:</t>
        </r>
        <r>
          <rPr>
            <sz val="8"/>
            <rFont val="Tahoma"/>
            <family val="2"/>
          </rPr>
          <t xml:space="preserve">
(e.g. 1.25 could mean that all 100 households have a washer and  stove, and ¼ (=0.25) of households have a dryer) </t>
        </r>
      </text>
    </comment>
    <comment ref="C7" authorId="0">
      <text>
        <r>
          <rPr>
            <b/>
            <sz val="8"/>
            <rFont val="Tahoma"/>
            <family val="2"/>
          </rPr>
          <t>Shawna:</t>
        </r>
        <r>
          <rPr>
            <sz val="8"/>
            <rFont val="Tahoma"/>
            <family val="2"/>
          </rPr>
          <t xml:space="preserve">
(this means that about half the households own 1, and half the homes own 2, so the average is between 1 and 2)</t>
        </r>
      </text>
    </comment>
    <comment ref="F23" authorId="1">
      <text>
        <r>
          <rPr>
            <b/>
            <sz val="8"/>
            <rFont val="Tahoma"/>
            <family val="2"/>
          </rPr>
          <t xml:space="preserve"> Andi:</t>
        </r>
        <r>
          <rPr>
            <sz val="8"/>
            <rFont val="Tahoma"/>
            <family val="2"/>
          </rPr>
          <t xml:space="preserve">
</t>
        </r>
        <r>
          <rPr>
            <sz val="8"/>
            <color indexed="17"/>
            <rFont val="Tahoma"/>
            <family val="2"/>
          </rPr>
          <t>(count 8 ft tubes as two 4 ft tubes)</t>
        </r>
      </text>
    </comment>
    <comment ref="I5" authorId="1">
      <text>
        <r>
          <rPr>
            <b/>
            <sz val="8"/>
            <rFont val="Tahoma"/>
            <family val="2"/>
          </rPr>
          <t xml:space="preserve"> Andi:</t>
        </r>
        <r>
          <rPr>
            <sz val="8"/>
            <rFont val="Tahoma"/>
            <family val="2"/>
          </rPr>
          <t xml:space="preserve">
 lbs</t>
        </r>
      </text>
    </comment>
    <comment ref="I6" authorId="1">
      <text>
        <r>
          <rPr>
            <b/>
            <sz val="8"/>
            <rFont val="Tahoma"/>
            <family val="2"/>
          </rPr>
          <t xml:space="preserve"> Andi:</t>
        </r>
        <r>
          <rPr>
            <sz val="8"/>
            <rFont val="Tahoma"/>
            <family val="2"/>
          </rPr>
          <t xml:space="preserve">
 lbs</t>
        </r>
      </text>
    </comment>
    <comment ref="I7" authorId="1">
      <text>
        <r>
          <rPr>
            <b/>
            <sz val="8"/>
            <rFont val="Tahoma"/>
            <family val="2"/>
          </rPr>
          <t xml:space="preserve"> Andi:</t>
        </r>
        <r>
          <rPr>
            <sz val="8"/>
            <rFont val="Tahoma"/>
            <family val="2"/>
          </rPr>
          <t xml:space="preserve">
lbs</t>
        </r>
      </text>
    </comment>
    <comment ref="I8" authorId="1">
      <text>
        <r>
          <rPr>
            <b/>
            <sz val="8"/>
            <rFont val="Tahoma"/>
            <family val="2"/>
          </rPr>
          <t xml:space="preserve"> Andi:</t>
        </r>
        <r>
          <rPr>
            <sz val="8"/>
            <rFont val="Tahoma"/>
            <family val="2"/>
          </rPr>
          <t xml:space="preserve">
 lbs</t>
        </r>
      </text>
    </comment>
  </commentList>
</comments>
</file>

<file path=xl/comments9.xml><?xml version="1.0" encoding="utf-8"?>
<comments xmlns="http://schemas.openxmlformats.org/spreadsheetml/2006/main">
  <authors>
    <author>Sim</author>
  </authors>
  <commentList>
    <comment ref="B6" authorId="0">
      <text>
        <r>
          <rPr>
            <b/>
            <sz val="8"/>
            <rFont val="Tahoma"/>
            <family val="2"/>
          </rPr>
          <t>Sim:</t>
        </r>
        <r>
          <rPr>
            <sz val="8"/>
            <rFont val="Tahoma"/>
            <family val="2"/>
          </rPr>
          <t xml:space="preserve">
(Note that there are 24 cans per flat case.   So if a store orders 200 cases per month on average, then that is 200 x 24 = 4,800 cans per month, or 57,600 per year )</t>
        </r>
      </text>
    </comment>
    <comment ref="J7" authorId="0">
      <text>
        <r>
          <rPr>
            <b/>
            <sz val="8"/>
            <rFont val="Tahoma"/>
            <family val="2"/>
          </rPr>
          <t>Sim:</t>
        </r>
        <r>
          <rPr>
            <sz val="8"/>
            <rFont val="Tahoma"/>
            <family val="2"/>
          </rPr>
          <t xml:space="preserve">
(Plastic bottles may not pay money, but you can get rid of them so they aren’t burned or take up space.)</t>
        </r>
      </text>
    </comment>
    <comment ref="J8" authorId="0">
      <text>
        <r>
          <rPr>
            <b/>
            <sz val="8"/>
            <rFont val="Tahoma"/>
            <family val="2"/>
          </rPr>
          <t>Sim:</t>
        </r>
        <r>
          <rPr>
            <sz val="8"/>
            <rFont val="Tahoma"/>
            <family val="2"/>
          </rPr>
          <t xml:space="preserve">
(Styrofoam will not pay money, but you can get rid of them so they aren’t burned or take up space.)</t>
        </r>
      </text>
    </comment>
    <comment ref="H6" authorId="0">
      <text>
        <r>
          <rPr>
            <b/>
            <sz val="8"/>
            <rFont val="Tahoma"/>
            <family val="2"/>
          </rPr>
          <t>Sim:</t>
        </r>
        <r>
          <rPr>
            <sz val="8"/>
            <rFont val="Tahoma"/>
            <family val="2"/>
          </rPr>
          <t xml:space="preserve">
(to get pounds of cans, divide by 30)
)</t>
        </r>
      </text>
    </comment>
    <comment ref="H7" authorId="0">
      <text>
        <r>
          <rPr>
            <b/>
            <sz val="8"/>
            <rFont val="Tahoma"/>
            <family val="2"/>
          </rPr>
          <t>Sim:</t>
        </r>
        <r>
          <rPr>
            <sz val="8"/>
            <rFont val="Tahoma"/>
            <family val="2"/>
          </rPr>
          <t xml:space="preserve">
Multiply number of bottles by 0.08 to get approximate pounds</t>
        </r>
      </text>
    </comment>
    <comment ref="H8" authorId="0">
      <text>
        <r>
          <rPr>
            <b/>
            <sz val="8"/>
            <rFont val="Tahoma"/>
            <family val="2"/>
          </rPr>
          <t>Sim:</t>
        </r>
        <r>
          <rPr>
            <sz val="8"/>
            <rFont val="Tahoma"/>
            <family val="2"/>
          </rPr>
          <t xml:space="preserve">
(Multiply number of pieces (cups, plates, packing, etc by 0.02 to get approximate pounds.  With styrofoam peanuts, 1 gal = 0.14 lb)</t>
        </r>
      </text>
    </comment>
    <comment ref="H9" authorId="0">
      <text>
        <r>
          <rPr>
            <b/>
            <sz val="8"/>
            <rFont val="Tahoma"/>
            <family val="2"/>
          </rPr>
          <t>Sim:</t>
        </r>
        <r>
          <rPr>
            <sz val="8"/>
            <rFont val="Tahoma"/>
            <family val="2"/>
          </rPr>
          <t xml:space="preserve">
(Multiply number of boxes by
2 to get approximate number of pounds)
</t>
        </r>
      </text>
    </comment>
  </commentList>
</comments>
</file>

<file path=xl/sharedStrings.xml><?xml version="1.0" encoding="utf-8"?>
<sst xmlns="http://schemas.openxmlformats.org/spreadsheetml/2006/main" count="565" uniqueCount="362">
  <si>
    <t>*******Note - in previous template versions, this table was Table 8**********</t>
  </si>
  <si>
    <t xml:space="preserve">Salvage Factor </t>
  </si>
  <si>
    <r>
      <t xml:space="preserve">Estimated %  that is </t>
    </r>
    <r>
      <rPr>
        <b/>
        <sz val="10"/>
        <rFont val="Arial"/>
        <family val="2"/>
      </rPr>
      <t>not</t>
    </r>
    <r>
      <rPr>
        <sz val="10"/>
        <rFont val="Arial"/>
        <family val="0"/>
      </rPr>
      <t xml:space="preserve"> salvaged for parts or reused</t>
    </r>
  </si>
  <si>
    <t>Column K</t>
  </si>
  <si>
    <t>(about 67% of this weight is lead)</t>
  </si>
  <si>
    <t xml:space="preserve">Aluminum skiff (exc. engine): </t>
  </si>
  <si>
    <t>Other boats:</t>
  </si>
  <si>
    <t xml:space="preserve">Atv’s: </t>
  </si>
  <si>
    <t xml:space="preserve">Sno-gos: </t>
  </si>
  <si>
    <t xml:space="preserve">Car or Truck: </t>
  </si>
  <si>
    <t>Heavy Equipment</t>
  </si>
  <si>
    <r>
      <t>Household</t>
    </r>
    <r>
      <rPr>
        <sz val="10"/>
        <rFont val="Arial"/>
        <family val="0"/>
      </rPr>
      <t xml:space="preserve"> refrigerators and freezers</t>
    </r>
  </si>
  <si>
    <t xml:space="preserve">Wood Stoves, Cooking Stoves </t>
  </si>
  <si>
    <t xml:space="preserve">Washers, Dryers, </t>
  </si>
  <si>
    <t>Column A</t>
  </si>
  <si>
    <t>(=BxC ÷D)</t>
  </si>
  <si>
    <t>(=F÷D)</t>
  </si>
  <si>
    <t>(=E+G)</t>
  </si>
  <si>
    <t>(=H x I)</t>
  </si>
  <si>
    <t>Column L</t>
  </si>
  <si>
    <r>
      <t xml:space="preserve">Lead Acid Batteries: </t>
    </r>
    <r>
      <rPr>
        <b/>
        <sz val="10"/>
        <rFont val="Arial"/>
        <family val="2"/>
      </rPr>
      <t xml:space="preserve">CAR or TRUCK </t>
    </r>
    <r>
      <rPr>
        <sz val="10"/>
        <rFont val="Arial"/>
        <family val="0"/>
      </rPr>
      <t xml:space="preserve"> </t>
    </r>
  </si>
  <si>
    <r>
      <t xml:space="preserve">Lead Acid Batteries: </t>
    </r>
    <r>
      <rPr>
        <b/>
        <sz val="10"/>
        <rFont val="Arial"/>
        <family val="2"/>
      </rPr>
      <t xml:space="preserve">SNO GO's </t>
    </r>
  </si>
  <si>
    <r>
      <t xml:space="preserve">Lead Acid Batteries: </t>
    </r>
    <r>
      <rPr>
        <b/>
        <sz val="10"/>
        <rFont val="Arial"/>
        <family val="2"/>
      </rPr>
      <t xml:space="preserve">ATV's </t>
    </r>
  </si>
  <si>
    <t>Waste</t>
  </si>
  <si>
    <t>How many of these wastes are stockpiled or sitting around your community now:</t>
  </si>
  <si>
    <t>Estimated Total weight of wastes in your community now (=Column B x Column C)</t>
  </si>
  <si>
    <r>
      <t xml:space="preserve">Lead-acid batteries in </t>
    </r>
    <r>
      <rPr>
        <b/>
        <sz val="10"/>
        <rFont val="Arial"/>
        <family val="2"/>
      </rPr>
      <t>boats</t>
    </r>
  </si>
  <si>
    <r>
      <t xml:space="preserve">Lead-acid batteries in </t>
    </r>
    <r>
      <rPr>
        <b/>
        <sz val="10"/>
        <rFont val="Arial"/>
        <family val="2"/>
      </rPr>
      <t>ATV's</t>
    </r>
  </si>
  <si>
    <r>
      <t xml:space="preserve">Lead-acid batteries in </t>
    </r>
    <r>
      <rPr>
        <b/>
        <sz val="10"/>
        <rFont val="Arial"/>
        <family val="2"/>
      </rPr>
      <t>Sno-gos</t>
    </r>
  </si>
  <si>
    <r>
      <t xml:space="preserve">Lead-acid batteries in </t>
    </r>
    <r>
      <rPr>
        <b/>
        <sz val="10"/>
        <rFont val="Arial"/>
        <family val="2"/>
      </rPr>
      <t>cars or trucks</t>
    </r>
  </si>
  <si>
    <t>Other boats (with engine):</t>
  </si>
  <si>
    <t>Refrigerators and freezers</t>
  </si>
  <si>
    <t>Stoves, Washers, Dryers</t>
  </si>
  <si>
    <t>Office fluorescent lights (4 ft tube=0.7 lb)</t>
  </si>
  <si>
    <t>Empty 55 gallon drums</t>
  </si>
  <si>
    <t>Full 55 gallon drums of used oil</t>
  </si>
  <si>
    <t>Full 55 gallon drums of used antifreeze</t>
  </si>
  <si>
    <t>Full 55 gallon drums of unknown or mixed waste</t>
  </si>
  <si>
    <t>Other??</t>
  </si>
  <si>
    <t>Total weight in pounds</t>
  </si>
  <si>
    <t>Item</t>
  </si>
  <si>
    <t>Unit Cost</t>
  </si>
  <si>
    <t>Units</t>
  </si>
  <si>
    <t>Quantity</t>
  </si>
  <si>
    <t>How often old oil is drained on purpose and new antifreeze put in each year for each vehicle</t>
  </si>
  <si>
    <t>Average number of times per year that old antifreeze is drained per vehicle</t>
  </si>
  <si>
    <t>Table 17  Special Wastes Stockpiled In Our Community Now</t>
  </si>
  <si>
    <t>Personnel</t>
  </si>
  <si>
    <t>hour</t>
  </si>
  <si>
    <t>lump</t>
  </si>
  <si>
    <t>Travel and Training</t>
  </si>
  <si>
    <t>gallon</t>
  </si>
  <si>
    <t>About this many households have at least one of the item:</t>
  </si>
  <si>
    <t>Column B</t>
  </si>
  <si>
    <t>Column C</t>
  </si>
  <si>
    <t>Average number of yrs before the waste item will need to be discarded</t>
  </si>
  <si>
    <t>Column D</t>
  </si>
  <si>
    <t>Total number generated each year</t>
  </si>
  <si>
    <t>Column E</t>
  </si>
  <si>
    <r>
      <t xml:space="preserve">How many total of these wastes do businesses have? </t>
    </r>
    <r>
      <rPr>
        <i/>
        <sz val="10"/>
        <color indexed="17"/>
        <rFont val="Arial"/>
        <family val="2"/>
      </rPr>
      <t>(e.g. if 5 businesses have atvs, then write 5)</t>
    </r>
    <r>
      <rPr>
        <i/>
        <sz val="10"/>
        <color indexed="19"/>
        <rFont val="Arial"/>
        <family val="2"/>
      </rPr>
      <t xml:space="preserve"> </t>
    </r>
  </si>
  <si>
    <t>Column F</t>
  </si>
  <si>
    <t>Total average number each yr discarded from business, schools, offices, utilities.</t>
  </si>
  <si>
    <t>Column G</t>
  </si>
  <si>
    <t>Total from households and businesses</t>
  </si>
  <si>
    <t>Column H</t>
  </si>
  <si>
    <t>Average Weight of Single Item in pounds (lbs)</t>
  </si>
  <si>
    <t>Column I</t>
  </si>
  <si>
    <t>Column J</t>
  </si>
  <si>
    <t>Supplies</t>
  </si>
  <si>
    <t>Table 7  Current Annual Revenue For Solid Waste Program</t>
  </si>
  <si>
    <t>Annual Revenue</t>
  </si>
  <si>
    <r>
      <t xml:space="preserve">Business fee for </t>
    </r>
    <r>
      <rPr>
        <sz val="11"/>
        <color indexed="10"/>
        <rFont val="Arial"/>
        <family val="2"/>
      </rPr>
      <t>4</t>
    </r>
    <r>
      <rPr>
        <sz val="11"/>
        <rFont val="Arial"/>
        <family val="2"/>
      </rPr>
      <t xml:space="preserve"> businesses (</t>
    </r>
    <r>
      <rPr>
        <sz val="11"/>
        <color indexed="10"/>
        <rFont val="Arial"/>
        <family val="2"/>
      </rPr>
      <t>2 Stores, clinic, post office</t>
    </r>
    <r>
      <rPr>
        <sz val="11"/>
        <rFont val="Arial"/>
        <family val="2"/>
      </rPr>
      <t xml:space="preserve">), </t>
    </r>
    <r>
      <rPr>
        <sz val="11"/>
        <color indexed="10"/>
        <rFont val="Arial"/>
        <family val="2"/>
      </rPr>
      <t>$35</t>
    </r>
    <r>
      <rPr>
        <sz val="11"/>
        <rFont val="Arial"/>
        <family val="2"/>
      </rPr>
      <t xml:space="preserve"> per month</t>
    </r>
  </si>
  <si>
    <r>
      <t xml:space="preserve">School, </t>
    </r>
    <r>
      <rPr>
        <sz val="11"/>
        <color indexed="10"/>
        <rFont val="Arial"/>
        <family val="2"/>
      </rPr>
      <t>$100</t>
    </r>
    <r>
      <rPr>
        <sz val="11"/>
        <rFont val="Arial"/>
        <family val="2"/>
      </rPr>
      <t xml:space="preserve"> per month</t>
    </r>
  </si>
  <si>
    <r>
      <t>Offices (</t>
    </r>
    <r>
      <rPr>
        <sz val="11"/>
        <color indexed="10"/>
        <rFont val="Arial"/>
        <family val="2"/>
      </rPr>
      <t>3</t>
    </r>
    <r>
      <rPr>
        <sz val="11"/>
        <rFont val="Arial"/>
        <family val="2"/>
      </rPr>
      <t xml:space="preserve">) </t>
    </r>
    <r>
      <rPr>
        <sz val="11"/>
        <color indexed="10"/>
        <rFont val="Arial"/>
        <family val="2"/>
      </rPr>
      <t>$25</t>
    </r>
    <r>
      <rPr>
        <sz val="11"/>
        <rFont val="Arial"/>
        <family val="2"/>
      </rPr>
      <t xml:space="preserve"> per month</t>
    </r>
  </si>
  <si>
    <t>(25x12x3=900)</t>
  </si>
  <si>
    <t>Tribal IGAP funds</t>
  </si>
  <si>
    <t>(if IGAP funds are used to help cover operator wages, supplies, training etc. include those here)</t>
  </si>
  <si>
    <r>
      <t xml:space="preserve">City funds </t>
    </r>
    <r>
      <rPr>
        <i/>
        <sz val="11"/>
        <color indexed="17"/>
        <rFont val="Arial"/>
        <family val="2"/>
      </rPr>
      <t xml:space="preserve">(if the City provides general revenues to run the solid waste program, include those here) General revenue might come from utililty reveune, bingo revenue, block grant funding.) </t>
    </r>
  </si>
  <si>
    <r>
      <t>Other Tribal funds (</t>
    </r>
    <r>
      <rPr>
        <i/>
        <sz val="11"/>
        <color indexed="17"/>
        <rFont val="Arial"/>
        <family val="2"/>
      </rPr>
      <t>same as with city – write additional funds besides IGAP that are used)</t>
    </r>
  </si>
  <si>
    <t>Construction Project waste tipping fees</t>
  </si>
  <si>
    <t>(if your community charges when construction project waste is dumped at your dumpsite, include an estimate of those fees here, based on the average fees received from previous years)</t>
  </si>
  <si>
    <t>Equipment rental fees to outside projects</t>
  </si>
  <si>
    <t>(if heavy equipment is rented out for projects in your community, include an estimate of those fees here, based on the average fees received from previous years)</t>
  </si>
  <si>
    <t>Revenues from recycling aluminum cans</t>
  </si>
  <si>
    <r>
      <t>(Only include the money available for the solid waste program to use.  For example, if a local youth group receives 75% of the revenues from recycling cans, and only 25% goes back into the solid waste program, only list that 25% amount here).</t>
    </r>
    <r>
      <rPr>
        <sz val="11"/>
        <color indexed="17"/>
        <rFont val="Arial"/>
        <family val="2"/>
      </rPr>
      <t xml:space="preserve"> </t>
    </r>
  </si>
  <si>
    <r>
      <t xml:space="preserve">Other Grant Revenues or Funding Sources </t>
    </r>
    <r>
      <rPr>
        <i/>
        <sz val="11"/>
        <color indexed="17"/>
        <rFont val="Arial"/>
        <family val="2"/>
      </rPr>
      <t>(be specific if possible)</t>
    </r>
  </si>
  <si>
    <t> Total annual revenues for solid waste</t>
  </si>
  <si>
    <r>
      <t xml:space="preserve">Household fee </t>
    </r>
    <r>
      <rPr>
        <sz val="11"/>
        <color indexed="10"/>
        <rFont val="Arial"/>
        <family val="2"/>
      </rPr>
      <t>60</t>
    </r>
    <r>
      <rPr>
        <sz val="11"/>
        <rFont val="Arial"/>
        <family val="2"/>
      </rPr>
      <t xml:space="preserve"> households @ </t>
    </r>
    <r>
      <rPr>
        <sz val="11"/>
        <color indexed="10"/>
        <rFont val="Arial"/>
        <family val="2"/>
      </rPr>
      <t>$20</t>
    </r>
    <r>
      <rPr>
        <sz val="11"/>
        <rFont val="Arial"/>
        <family val="2"/>
      </rPr>
      <t xml:space="preserve"> per month</t>
    </r>
  </si>
  <si>
    <r>
      <t xml:space="preserve">Business fee for </t>
    </r>
    <r>
      <rPr>
        <sz val="11"/>
        <color indexed="10"/>
        <rFont val="Arial"/>
        <family val="2"/>
      </rPr>
      <t>4</t>
    </r>
    <r>
      <rPr>
        <sz val="11"/>
        <rFont val="Arial"/>
        <family val="2"/>
      </rPr>
      <t xml:space="preserve"> businesses (</t>
    </r>
    <r>
      <rPr>
        <sz val="11"/>
        <color indexed="10"/>
        <rFont val="Arial"/>
        <family val="2"/>
      </rPr>
      <t>2 Stores, clinic, post office</t>
    </r>
    <r>
      <rPr>
        <sz val="11"/>
        <rFont val="Arial"/>
        <family val="2"/>
      </rPr>
      <t xml:space="preserve">), </t>
    </r>
    <r>
      <rPr>
        <sz val="11"/>
        <color indexed="10"/>
        <rFont val="Arial"/>
        <family val="2"/>
      </rPr>
      <t>$50</t>
    </r>
    <r>
      <rPr>
        <sz val="11"/>
        <rFont val="Arial"/>
        <family val="2"/>
      </rPr>
      <t xml:space="preserve"> per month</t>
    </r>
  </si>
  <si>
    <r>
      <t>Offices (</t>
    </r>
    <r>
      <rPr>
        <sz val="11"/>
        <color indexed="10"/>
        <rFont val="Arial"/>
        <family val="2"/>
      </rPr>
      <t>3</t>
    </r>
    <r>
      <rPr>
        <sz val="11"/>
        <rFont val="Arial"/>
        <family val="2"/>
      </rPr>
      <t xml:space="preserve">) </t>
    </r>
    <r>
      <rPr>
        <sz val="11"/>
        <color indexed="10"/>
        <rFont val="Arial"/>
        <family val="2"/>
      </rPr>
      <t>$35</t>
    </r>
    <r>
      <rPr>
        <sz val="11"/>
        <rFont val="Arial"/>
        <family val="2"/>
      </rPr>
      <t xml:space="preserve"> per month</t>
    </r>
  </si>
  <si>
    <t>(35x12 x 3=900)</t>
  </si>
  <si>
    <t>EPA IGAP funds</t>
  </si>
  <si>
    <r>
      <t xml:space="preserve">Construction Project waste tipping fees, </t>
    </r>
    <r>
      <rPr>
        <sz val="11"/>
        <color indexed="10"/>
        <rFont val="Arial"/>
        <family val="2"/>
      </rPr>
      <t>$100/yard at 20 yards of non-salvageable material per year average of landfill life</t>
    </r>
  </si>
  <si>
    <r>
      <t xml:space="preserve">Equipment rental fees to outside projects, </t>
    </r>
    <r>
      <rPr>
        <sz val="11"/>
        <color indexed="10"/>
        <rFont val="Arial"/>
        <family val="2"/>
      </rPr>
      <t xml:space="preserve">$450/d for 12 days average per year. </t>
    </r>
  </si>
  <si>
    <t>(if heavy equipment is rented out for projects in your community, include an estimate of those fees here, based on the average fees received from previous years or daily rental fees in other villages and an average number of days that you would have a project each year.  Note some years, you will have no rental, and some years, all summer rental.  Demonstrating that you will be able to rent out your needed equipment when not in use to pay for its maintenance can help to win equipment for some grants.)</t>
  </si>
  <si>
    <t xml:space="preserve">Additional funding sources??  </t>
  </si>
  <si>
    <r>
      <t xml:space="preserve">Household fee </t>
    </r>
    <r>
      <rPr>
        <sz val="11"/>
        <color indexed="10"/>
        <rFont val="Arial"/>
        <family val="2"/>
      </rPr>
      <t>60</t>
    </r>
    <r>
      <rPr>
        <sz val="11"/>
        <rFont val="Arial"/>
        <family val="2"/>
      </rPr>
      <t xml:space="preserve"> households @ </t>
    </r>
    <r>
      <rPr>
        <sz val="11"/>
        <color indexed="10"/>
        <rFont val="Arial"/>
        <family val="2"/>
      </rPr>
      <t>$10  per month</t>
    </r>
  </si>
  <si>
    <t>(60 x 20 x 12 =14,400)</t>
  </si>
  <si>
    <t>(4x50x12=1680)</t>
  </si>
  <si>
    <t>(100x12=1200)</t>
  </si>
  <si>
    <t>City funds</t>
  </si>
  <si>
    <t>(if the City provides funds to run the solid waste program, include those here)</t>
  </si>
  <si>
    <t>Total annual revenues for solid waste</t>
  </si>
  <si>
    <t>How the Annual Revenue Column is Calculated:</t>
  </si>
  <si>
    <t>How Annual Revenue is Calculated</t>
  </si>
  <si>
    <t>(60 houses x12 months x$10=7200)</t>
  </si>
  <si>
    <t>(4x35x12=1680)</t>
  </si>
  <si>
    <t xml:space="preserve"> (100x12=1200)</t>
  </si>
  <si>
    <t>(=J x K)</t>
  </si>
  <si>
    <t>Estimated Total weight generated (lbs)</t>
  </si>
  <si>
    <t>WASTE:</t>
  </si>
  <si>
    <t>(estimate the approximate area of the buildings)</t>
  </si>
  <si>
    <r>
      <t xml:space="preserve">School </t>
    </r>
    <r>
      <rPr>
        <b/>
        <i/>
        <sz val="10"/>
        <rFont val="Arial"/>
        <family val="2"/>
      </rPr>
      <t>construction</t>
    </r>
  </si>
  <si>
    <r>
      <t xml:space="preserve">Clinic </t>
    </r>
    <r>
      <rPr>
        <b/>
        <i/>
        <sz val="10"/>
        <rFont val="Arial"/>
        <family val="2"/>
      </rPr>
      <t>construction</t>
    </r>
  </si>
  <si>
    <r>
      <t>Post office</t>
    </r>
    <r>
      <rPr>
        <b/>
        <i/>
        <sz val="10"/>
        <rFont val="Arial"/>
        <family val="2"/>
      </rPr>
      <t xml:space="preserve"> construction</t>
    </r>
  </si>
  <si>
    <r>
      <t xml:space="preserve">Store(s) </t>
    </r>
    <r>
      <rPr>
        <b/>
        <i/>
        <sz val="10"/>
        <rFont val="Arial"/>
        <family val="2"/>
      </rPr>
      <t>construction</t>
    </r>
  </si>
  <si>
    <r>
      <t>House(s)</t>
    </r>
    <r>
      <rPr>
        <b/>
        <i/>
        <sz val="10"/>
        <rFont val="Arial"/>
        <family val="2"/>
      </rPr>
      <t xml:space="preserve"> construction</t>
    </r>
  </si>
  <si>
    <r>
      <t xml:space="preserve">Demolition, </t>
    </r>
    <r>
      <rPr>
        <b/>
        <i/>
        <sz val="10"/>
        <rFont val="Arial"/>
        <family val="2"/>
      </rPr>
      <t>residential</t>
    </r>
  </si>
  <si>
    <r>
      <t xml:space="preserve">Demolition, </t>
    </r>
    <r>
      <rPr>
        <b/>
        <i/>
        <sz val="10"/>
        <rFont val="Arial"/>
        <family val="2"/>
      </rPr>
      <t>non-residential</t>
    </r>
  </si>
  <si>
    <t>Total Average Tons Per Year of C&amp;D Waste</t>
  </si>
  <si>
    <t xml:space="preserve">Total Project Wastes (pounds) </t>
  </si>
  <si>
    <t>Residential (lbs/sq ft)</t>
  </si>
  <si>
    <t>Non-residential (lbs/sq ft)</t>
  </si>
  <si>
    <t>New Construction</t>
  </si>
  <si>
    <t>Renovation</t>
  </si>
  <si>
    <t>Demolition</t>
  </si>
  <si>
    <t>Building Area (sq ft)</t>
  </si>
  <si>
    <t>C</t>
  </si>
  <si>
    <t>D</t>
  </si>
  <si>
    <t>E</t>
  </si>
  <si>
    <t>F</t>
  </si>
  <si>
    <t>How often built  (years)</t>
  </si>
  <si>
    <t>Average waste per year (pounds)</t>
  </si>
  <si>
    <t>B X (1-C) X (Table A factor)</t>
  </si>
  <si>
    <t>D ÷ E</t>
  </si>
  <si>
    <t>F÷ 2,000</t>
  </si>
  <si>
    <t xml:space="preserve">Identified Priority Criteria </t>
  </si>
  <si>
    <t>Higher values denote activity higher/better effect on criteria.</t>
  </si>
  <si>
    <t>What to do?</t>
  </si>
  <si>
    <t>Traditional Values</t>
  </si>
  <si>
    <t>(1-5)</t>
  </si>
  <si>
    <t>Reduce Health Risk (Direct)</t>
  </si>
  <si>
    <r>
      <t xml:space="preserve">Low </t>
    </r>
    <r>
      <rPr>
        <b/>
        <sz val="11"/>
        <color indexed="10"/>
        <rFont val="Arial"/>
        <family val="2"/>
      </rPr>
      <t>Cost</t>
    </r>
  </si>
  <si>
    <r>
      <t>“</t>
    </r>
    <r>
      <rPr>
        <b/>
        <u val="single"/>
        <sz val="11"/>
        <color indexed="10"/>
        <rFont val="Arial"/>
        <family val="2"/>
      </rPr>
      <t>Ease</t>
    </r>
    <r>
      <rPr>
        <b/>
        <sz val="11"/>
        <color indexed="10"/>
        <rFont val="Arial"/>
        <family val="2"/>
      </rPr>
      <t xml:space="preserve"> of doing well”</t>
    </r>
  </si>
  <si>
    <t>Total</t>
  </si>
  <si>
    <t>Get rid of cardboard because dump gets filled up</t>
  </si>
  <si>
    <t>Baler</t>
  </si>
  <si>
    <t>Cardboard Logs</t>
  </si>
  <si>
    <t>Burnbox</t>
  </si>
  <si>
    <t>Re-organize dumpsite to separate wastes</t>
  </si>
  <si>
    <t>Cleanup project to have salvage yard and separate pet carcasses and clear access</t>
  </si>
  <si>
    <t>Too much trash that is hazardous!</t>
  </si>
  <si>
    <t>Educate on chemicals in our households, and what to buy for safer</t>
  </si>
  <si>
    <t>Ban Plastic Bags</t>
  </si>
  <si>
    <t>Education, working with stores</t>
  </si>
  <si>
    <t>Some honeybucket wastes being discarded with the garbage/no separation or cell</t>
  </si>
  <si>
    <t>Need a place for all houses to discard their honeybuckets.  Rope off a separate section and enforce with education while trying to fund a collection program</t>
  </si>
  <si>
    <t>Plastic bottles are hazardous to breathe and bad for subsistence</t>
  </si>
  <si>
    <t>Work with stores and school to switch kids’ from plastic to cans and glass.</t>
  </si>
  <si>
    <t>Backhaul junk cars/scrap metal</t>
  </si>
  <si>
    <t>Develop plan, work with region, for a 5 year goal of implementing</t>
  </si>
  <si>
    <t>Make a good access</t>
  </si>
  <si>
    <t>Rebuild access and turnaround so people don’t contact wastes</t>
  </si>
  <si>
    <t>Get people to stop littering at camps</t>
  </si>
  <si>
    <t>education</t>
  </si>
  <si>
    <t>Have people stop changing oil, batteries, being careful with chainsaws at ice holes</t>
  </si>
  <si>
    <t>Relocate burnbox</t>
  </si>
  <si>
    <t>Relocate dumpsite</t>
  </si>
  <si>
    <t xml:space="preserve">Detailed plans &amp; NEPA for landfill/closure </t>
  </si>
  <si>
    <t>Collection program</t>
  </si>
  <si>
    <t xml:space="preserve">Get  trash carts or bins for groups of houses that they can use </t>
  </si>
  <si>
    <t>Shape/install berms around dump for water flow around instead of through dump</t>
  </si>
  <si>
    <t>Implement recycling management plan priority #1’s</t>
  </si>
  <si>
    <t>See table</t>
  </si>
  <si>
    <t>(depends)</t>
  </si>
  <si>
    <t>(windblown outer area only)</t>
  </si>
  <si>
    <t xml:space="preserve">Reduce Environmental Risk </t>
  </si>
  <si>
    <t>Activity or Waste to target</t>
  </si>
  <si>
    <t>Any comments:</t>
  </si>
  <si>
    <t xml:space="preserve">Column A </t>
  </si>
  <si>
    <r>
      <t xml:space="preserve">(every </t>
    </r>
    <r>
      <rPr>
        <i/>
        <sz val="10"/>
        <color indexed="17"/>
        <rFont val="Arial"/>
        <family val="2"/>
      </rPr>
      <t>x</t>
    </r>
    <r>
      <rPr>
        <sz val="10"/>
        <color indexed="17"/>
        <rFont val="Arial"/>
        <family val="2"/>
      </rPr>
      <t xml:space="preserve"> years)</t>
    </r>
  </si>
  <si>
    <t>Renovation, residential</t>
  </si>
  <si>
    <t xml:space="preserve">                  Table A: Typical Construction and Demolition Waste Generation Rates Researched, in lbs (pounds) per sq ft</t>
  </si>
  <si>
    <t>Note the total should equal or exceed the estimated operation and maintenance of your future program (which in the table above is $37,660.  In this example, you will need to either raise your fees more, increase the donation from IGAP, or lower your operation and maintenance fees by lowering staff hours, pay, vehicle use, etc.  You could also identify another grant source, but it must be a grant that allows yearly operation and maintenance.</t>
  </si>
  <si>
    <r>
      <t xml:space="preserve">Lead Acid Batteries: </t>
    </r>
    <r>
      <rPr>
        <b/>
        <sz val="10"/>
        <rFont val="Arial"/>
        <family val="2"/>
      </rPr>
      <t xml:space="preserve">BOATS </t>
    </r>
  </si>
  <si>
    <t>Total Lead-Acid Batteries</t>
  </si>
  <si>
    <t xml:space="preserve">ATV’s: </t>
  </si>
  <si>
    <t xml:space="preserve">Sno-Gos: </t>
  </si>
  <si>
    <t>Table 12  Estimation of Construction &amp; Demolition Waste</t>
  </si>
  <si>
    <t>A higher value represents better addressing of issue and/or greater community consensus</t>
  </si>
  <si>
    <t>Considerations</t>
  </si>
  <si>
    <t xml:space="preserve">Option </t>
  </si>
  <si>
    <t>Summarized comments</t>
  </si>
  <si>
    <t>Traditional Values/ Subsistence protected</t>
  </si>
  <si>
    <t>Reduce Direct Health Risk</t>
  </si>
  <si>
    <r>
      <t xml:space="preserve">Shortest </t>
    </r>
    <r>
      <rPr>
        <b/>
        <sz val="10"/>
        <color indexed="10"/>
        <rFont val="Arial"/>
        <family val="2"/>
      </rPr>
      <t xml:space="preserve"> time till completed (including finding $$)</t>
    </r>
  </si>
  <si>
    <r>
      <t xml:space="preserve">Low  O &amp; M </t>
    </r>
    <r>
      <rPr>
        <b/>
        <sz val="10"/>
        <color indexed="10"/>
        <rFont val="Arial"/>
        <family val="2"/>
      </rPr>
      <t>Cost</t>
    </r>
  </si>
  <si>
    <t>Ease of  maintain-ing option as designed</t>
  </si>
  <si>
    <t>????</t>
  </si>
  <si>
    <t>Shipping our Garbage to another Landfill</t>
  </si>
  <si>
    <t>Not feasible, has been found to over $300 per household per month</t>
  </si>
  <si>
    <t>Upgrade Existing Site and Programs</t>
  </si>
  <si>
    <t xml:space="preserve">Includes site cleanup, regarding, salvage, waste separation in town, collection program, burnbox, recycle/reuse and store/stage Center.  </t>
  </si>
  <si>
    <t>New Landfill two miles east of Town</t>
  </si>
  <si>
    <t>Our dump is in imminent danger of falling into River and must be relocated to a safe area where it can be maintained, that is downwind of town and does not flood into river</t>
  </si>
  <si>
    <t>New Landfill 1 mile west of airport site</t>
  </si>
  <si>
    <t>This could take advantage of the new airport road so reduce construction cost and time needed to find funding also it is away from future development plans</t>
  </si>
  <si>
    <t>New Sackfill,3 miles west of Town</t>
  </si>
  <si>
    <t>Need re-locatable landfill and can clean up with sacks immediately without permit, this area is best for sacks</t>
  </si>
  <si>
    <t>Table 10 Important Additional Wastes With Different Estimation Methods (Diapers)</t>
  </si>
  <si>
    <t xml:space="preserve">Disposable Diapers </t>
  </si>
  <si>
    <t>Number of people in village</t>
  </si>
  <si>
    <t xml:space="preserve">Number of babies in village that use disposable diapers: </t>
  </si>
  <si>
    <t xml:space="preserve">Number of diapers each day for each baby (nationwide average is 5): </t>
  </si>
  <si>
    <t>Number of diapers each day:</t>
  </si>
  <si>
    <t>Number of diapers each year:</t>
  </si>
  <si>
    <t>Total weight: (Average weight of full diaper = 0.4 lb)</t>
  </si>
  <si>
    <t>Approximate % of total wastestream by weight</t>
  </si>
  <si>
    <t>Enter:</t>
  </si>
  <si>
    <t>Enter amt or use the average of 5:</t>
  </si>
  <si>
    <t>Table 10 Important Additional Wastes With Different Estimation Methods (Used Oil)</t>
  </si>
  <si>
    <t>Households</t>
  </si>
  <si>
    <t>Table 24  Prioritization Of Identified Actions for Addressing Solid Waste Issues</t>
  </si>
  <si>
    <t>Table 23  Selection Of Our Long Term Disposal Option For Garbage And Other Leftover Wastes.</t>
  </si>
  <si>
    <t xml:space="preserve">Table 26  Planned Annual Operation And Maintenance (O&amp;M) Costs For Solid Waste </t>
  </si>
  <si>
    <t>Businesses</t>
  </si>
  <si>
    <t>Totals</t>
  </si>
  <si>
    <r>
      <t>Used oil</t>
    </r>
    <r>
      <rPr>
        <sz val="9"/>
        <rFont val="Arial"/>
        <family val="2"/>
      </rPr>
      <t xml:space="preserve"> from vehicles</t>
    </r>
  </si>
  <si>
    <r>
      <t>Number of households that have working vehicles</t>
    </r>
    <r>
      <rPr>
        <sz val="9"/>
        <color indexed="10"/>
        <rFont val="Arial"/>
        <family val="2"/>
      </rPr>
      <t xml:space="preserve">: </t>
    </r>
  </si>
  <si>
    <t>Average number of vehicles for households that own one:</t>
  </si>
  <si>
    <t>Total household vehicles (estimated)</t>
  </si>
  <si>
    <t>Average number of quarts that are drained per vehicle:</t>
  </si>
  <si>
    <t>How many times per year is oil purposely drained on average for these vehicles?</t>
  </si>
  <si>
    <t>Number of quarts drained each year by houses:</t>
  </si>
  <si>
    <r>
      <t>Total</t>
    </r>
    <r>
      <rPr>
        <sz val="9"/>
        <rFont val="Arial"/>
        <family val="2"/>
      </rPr>
      <t xml:space="preserve"> number of vehicles for </t>
    </r>
    <r>
      <rPr>
        <b/>
        <sz val="9"/>
        <rFont val="Arial"/>
        <family val="2"/>
      </rPr>
      <t>all</t>
    </r>
    <r>
      <rPr>
        <sz val="9"/>
        <rFont val="Arial"/>
        <family val="2"/>
      </rPr>
      <t xml:space="preserve"> businessses</t>
    </r>
  </si>
  <si>
    <t>Number of quarts drained per year from  businesses</t>
  </si>
  <si>
    <t>Total quarts each year that are drained:</t>
  </si>
  <si>
    <t xml:space="preserve">Total Gallons of recoverable used oil each year for recycling/ heat </t>
  </si>
  <si>
    <r>
      <t xml:space="preserve">Total </t>
    </r>
    <r>
      <rPr>
        <b/>
        <sz val="9"/>
        <rFont val="Arial"/>
        <family val="2"/>
      </rPr>
      <t>gallons</t>
    </r>
    <r>
      <rPr>
        <sz val="9"/>
        <rFont val="Arial"/>
        <family val="2"/>
      </rPr>
      <t xml:space="preserve"> of drinking water protected if used oil is diverted:</t>
    </r>
  </si>
  <si>
    <t>F+J</t>
  </si>
  <si>
    <t>ATVS</t>
  </si>
  <si>
    <t>Snow-machines</t>
  </si>
  <si>
    <t>Boats</t>
  </si>
  <si>
    <t>Cars or Trucks</t>
  </si>
  <si>
    <t>TOTAL</t>
  </si>
  <si>
    <t>Table 10 Important Additional Wastes With Different Estimation Methods (Antifreeze)</t>
  </si>
  <si>
    <r>
      <t>Antifreeze</t>
    </r>
    <r>
      <rPr>
        <sz val="9"/>
        <rFont val="Arial"/>
        <family val="2"/>
      </rPr>
      <t xml:space="preserve"> from vehicles</t>
    </r>
  </si>
  <si>
    <t>Number of households that have vehicles that use antifreeze</t>
  </si>
  <si>
    <t xml:space="preserve">Average number of vehicles per household (boats,atvs snowmachines): </t>
  </si>
  <si>
    <t>Total number of vehicles for businesses</t>
  </si>
  <si>
    <t>Average number of quarts that are drained per vehicle</t>
  </si>
  <si>
    <t xml:space="preserve">Number of quarts drained per year  for businesses: </t>
  </si>
  <si>
    <t>C x D</t>
  </si>
  <si>
    <t>E X 365</t>
  </si>
  <si>
    <t>F X 0.4</t>
  </si>
  <si>
    <t>C x.53</t>
  </si>
  <si>
    <t>Column M</t>
  </si>
  <si>
    <t>Column N</t>
  </si>
  <si>
    <r>
      <t xml:space="preserve">B x C </t>
    </r>
    <r>
      <rPr>
        <i/>
        <sz val="10"/>
        <rFont val="Arial"/>
        <family val="2"/>
      </rPr>
      <t>OR</t>
    </r>
    <r>
      <rPr>
        <sz val="10"/>
        <rFont val="Arial"/>
        <family val="0"/>
      </rPr>
      <t xml:space="preserve"> Enter:</t>
    </r>
  </si>
  <si>
    <t>D X E X F</t>
  </si>
  <si>
    <t>H X I X J</t>
  </si>
  <si>
    <t>G+K</t>
  </si>
  <si>
    <t>M * 1 million</t>
  </si>
  <si>
    <t>BxCxDxE</t>
  </si>
  <si>
    <t>GxHxI</t>
  </si>
  <si>
    <t>Average number of items these households bring in each year:</t>
  </si>
  <si>
    <t>Number posted or directly shipped to businesses other than stores (e.g. school):</t>
  </si>
  <si>
    <t>Total estimated number:</t>
  </si>
  <si>
    <t>Total pounds per year:</t>
  </si>
  <si>
    <t>Plastic Bottles</t>
  </si>
  <si>
    <t>Styrofoam</t>
  </si>
  <si>
    <t>Reduce Dump size/ volume</t>
  </si>
  <si>
    <t>Table 9  Special Waste Generation Rates</t>
  </si>
  <si>
    <r>
      <t xml:space="preserve">Table 11  Estimation Of Aluminum Cans, Plastic Bottles, Styrofoam, And Cardboard For Recycling Or Waste Reduction/Banning Purposes  </t>
    </r>
    <r>
      <rPr>
        <sz val="8"/>
        <rFont val="Arial Black"/>
        <family val="2"/>
      </rPr>
      <t xml:space="preserve"> </t>
    </r>
    <r>
      <rPr>
        <i/>
        <sz val="8"/>
        <color indexed="17"/>
        <rFont val="Arial Black"/>
        <family val="2"/>
      </rPr>
      <t>(Get these numbers by going to the stores, offices, school and asking to see their order forms or inventory for pop or other aluminum can beverages, glass jar products, plastic bottle beverages, Styrofoam.  For cardboard, get the number of boxes ordered by the stores, received through the post office, and received directly by school and offices not through the post office). Remember, you do not have to be exact, just try to get the best numbers you can.)</t>
    </r>
  </si>
  <si>
    <r>
      <t xml:space="preserve">Aluminum Cans </t>
    </r>
    <r>
      <rPr>
        <b/>
        <i/>
        <sz val="10"/>
        <rFont val="Arial"/>
        <family val="2"/>
      </rPr>
      <t>(not cases)</t>
    </r>
  </si>
  <si>
    <r>
      <t xml:space="preserve">Cardboard </t>
    </r>
    <r>
      <rPr>
        <b/>
        <i/>
        <sz val="10"/>
        <rFont val="Arial"/>
        <family val="2"/>
      </rPr>
      <t>(Corrugated boxes)</t>
    </r>
  </si>
  <si>
    <r>
      <t xml:space="preserve">About how many households bring in or order their pop cans directly: </t>
    </r>
    <r>
      <rPr>
        <b/>
        <i/>
        <sz val="9"/>
        <rFont val="Arial"/>
        <family val="2"/>
      </rPr>
      <t>(Just estimate what you think)</t>
    </r>
  </si>
  <si>
    <t xml:space="preserve">Total posted or brought  in from households each year </t>
  </si>
  <si>
    <t>(CxD)</t>
  </si>
  <si>
    <t>Enter</t>
  </si>
  <si>
    <r>
      <t xml:space="preserve">Total potential revenue per year: </t>
    </r>
    <r>
      <rPr>
        <b/>
        <i/>
        <sz val="9"/>
        <rFont val="Arial"/>
        <family val="2"/>
      </rPr>
      <t>(multiply pounds(column H) by the price that Recycling company pays (column J))</t>
    </r>
  </si>
  <si>
    <t>(H*J)</t>
  </si>
  <si>
    <t>Total Estimated Revenues</t>
  </si>
  <si>
    <t>(see comments for each cell)</t>
  </si>
  <si>
    <t>(B+E+F)</t>
  </si>
  <si>
    <t>(the prices listed here are just examples - you can call the recycling company to get an estimate)</t>
  </si>
  <si>
    <t>Recyclable Material</t>
  </si>
  <si>
    <t xml:space="preserve">How Many pieces (cans, bottles, boxes etc.) the stores order each year: </t>
  </si>
  <si>
    <t>Price that Recycling company pays per pound</t>
  </si>
  <si>
    <t xml:space="preserve">Average solid waste generated per person each day in lbs </t>
  </si>
  <si>
    <r>
      <t xml:space="preserve">Table </t>
    </r>
    <r>
      <rPr>
        <b/>
        <sz val="11"/>
        <rFont val="Arial Black"/>
        <family val="2"/>
      </rPr>
      <t>14</t>
    </r>
    <r>
      <rPr>
        <b/>
        <sz val="12"/>
        <rFont val="Arial"/>
        <family val="2"/>
      </rPr>
      <t xml:space="preserve">  Projected Population and Annual Waste Generation for the Next 30 Years for </t>
    </r>
    <r>
      <rPr>
        <b/>
        <sz val="12"/>
        <color indexed="10"/>
        <rFont val="Arial"/>
        <family val="2"/>
      </rPr>
      <t>Community Name</t>
    </r>
  </si>
  <si>
    <t>You can use one row per housing project.  For example, if 10 houses are built on average every 5 years, you could list in column B 1,000 ft x 10 houses =10,000, and column E would be “5”.  If you have only one housing project planned in the next 30 years, for say 10 houses of 1,000 ft each, you would list in Column B 10,0000 and Column E would be "30".  If you have 2 different housing projects planned in the next 30 years, such as one for 5 houses and one for 10 houses it is better to add a row to the table and list each separately. Treat other rows the same way.</t>
  </si>
  <si>
    <t>Anticipated Project Within the Planning Horizon</t>
  </si>
  <si>
    <r>
      <t xml:space="preserve">Business </t>
    </r>
    <r>
      <rPr>
        <sz val="10"/>
        <rFont val="Arial"/>
        <family val="0"/>
      </rPr>
      <t>refrigerators and freezers (school/store)</t>
    </r>
  </si>
  <si>
    <r>
      <t>Average number that these households own.</t>
    </r>
    <r>
      <rPr>
        <i/>
        <sz val="10"/>
        <rFont val="Arial"/>
        <family val="2"/>
      </rPr>
      <t xml:space="preserve"> </t>
    </r>
    <r>
      <rPr>
        <i/>
        <sz val="10"/>
        <color indexed="17"/>
        <rFont val="Arial"/>
        <family val="2"/>
      </rPr>
      <t>(average number owned by households listed in Column A)</t>
    </r>
  </si>
  <si>
    <t>Approximate volume in landfill, cubic yard: (avg. child = .53  /yr)</t>
  </si>
  <si>
    <t>Table 27  Revenue Sources For Planned Solid Waste Program Improvements</t>
  </si>
  <si>
    <t>Average waste per year (tons)</t>
  </si>
  <si>
    <t xml:space="preserve">(Estimate how much of the project waste is salvaged by the community.  ) </t>
  </si>
  <si>
    <t xml:space="preserve">(Find the right waste number from Table A below.  Multiply it by the average sq ft of the building type, multiplied by (1- column c)) </t>
  </si>
  <si>
    <t>No good average exists.  Use non-residential amount unless you have a better number</t>
  </si>
  <si>
    <t>Year</t>
  </si>
  <si>
    <t>Population</t>
  </si>
  <si>
    <t>Enter Percent Growth Rate here (if it is negative, use a minus sign in front:</t>
  </si>
  <si>
    <r>
      <t>Waste</t>
    </r>
    <r>
      <rPr>
        <b/>
        <sz val="11"/>
        <color indexed="10"/>
        <rFont val="Arial"/>
        <family val="2"/>
      </rPr>
      <t xml:space="preserve"> (Tons)</t>
    </r>
  </si>
  <si>
    <r>
      <t xml:space="preserve">Fluorescent light </t>
    </r>
    <r>
      <rPr>
        <b/>
        <sz val="10"/>
        <rFont val="Arial"/>
        <family val="2"/>
      </rPr>
      <t xml:space="preserve">bulbs </t>
    </r>
  </si>
  <si>
    <t>Estimated total weight each year generated that is not salvaged for parts or reused (lbs)</t>
  </si>
  <si>
    <t>Monitors</t>
  </si>
  <si>
    <t>Computers (without monitors)</t>
  </si>
  <si>
    <t>Laptops</t>
  </si>
  <si>
    <t>T.V.'s</t>
  </si>
  <si>
    <r>
      <t xml:space="preserve">Fluorescent </t>
    </r>
    <r>
      <rPr>
        <b/>
        <sz val="10"/>
        <rFont val="Arial"/>
        <family val="2"/>
      </rPr>
      <t>tube</t>
    </r>
    <r>
      <rPr>
        <sz val="10"/>
        <rFont val="Arial"/>
        <family val="0"/>
      </rPr>
      <t xml:space="preserve"> lights (4-ft tubes)</t>
    </r>
  </si>
  <si>
    <t xml:space="preserve">Total </t>
  </si>
  <si>
    <t>G</t>
  </si>
  <si>
    <t>H</t>
  </si>
  <si>
    <t>I</t>
  </si>
  <si>
    <t>J</t>
  </si>
  <si>
    <t>Reduce Specific Subsistence Risk</t>
  </si>
  <si>
    <t>(e x .4)/(b x i)</t>
  </si>
  <si>
    <t>L / 4</t>
  </si>
  <si>
    <r>
      <t xml:space="preserve">Renovation, </t>
    </r>
    <r>
      <rPr>
        <b/>
        <i/>
        <sz val="10"/>
        <rFont val="Arial"/>
        <family val="2"/>
      </rPr>
      <t>non-residential (everything except houses)</t>
    </r>
  </si>
  <si>
    <t>Annual Cost</t>
  </si>
  <si>
    <r>
      <t xml:space="preserve">GAP Coordinator/Director </t>
    </r>
    <r>
      <rPr>
        <sz val="9"/>
        <color indexed="10"/>
        <rFont val="Calibri"/>
        <family val="2"/>
      </rPr>
      <t>presents to community regularly, and runs Flying Cans. Supervising landfill staff, finding funding for a new landfill</t>
    </r>
    <r>
      <rPr>
        <sz val="9"/>
        <rFont val="Calibri"/>
        <family val="2"/>
      </rPr>
      <t xml:space="preserve">. </t>
    </r>
  </si>
  <si>
    <r>
      <t xml:space="preserve">GAP Assistant </t>
    </r>
    <r>
      <rPr>
        <sz val="9"/>
        <color indexed="10"/>
        <rFont val="Calibri"/>
        <family val="2"/>
      </rPr>
      <t>works 4 hours a week organizing cans, conducting outreach</t>
    </r>
  </si>
  <si>
    <r>
      <t xml:space="preserve">Solid Waste Technician: </t>
    </r>
    <r>
      <rPr>
        <sz val="9"/>
        <color indexed="10"/>
        <rFont val="Calibri"/>
        <family val="2"/>
      </rPr>
      <t>Collects and unloads wastes  each week , assists operator, annual backhaul e-waste event, for 5 days of work</t>
    </r>
    <r>
      <rPr>
        <sz val="9"/>
        <color indexed="8"/>
        <rFont val="Calibri"/>
        <family val="2"/>
      </rPr>
      <t xml:space="preserve"> </t>
    </r>
  </si>
  <si>
    <r>
      <t xml:space="preserve">Operator:  </t>
    </r>
    <r>
      <rPr>
        <sz val="9"/>
        <color indexed="10"/>
        <rFont val="Calibri"/>
        <family val="2"/>
      </rPr>
      <t>compact and consolidate each week,  inspects the fence, picks up litter, and conducts equipment maintenance, backhaul and annual e-waste event for  5 days of work</t>
    </r>
    <r>
      <rPr>
        <sz val="9"/>
        <rFont val="Calibri"/>
        <family val="2"/>
      </rPr>
      <t xml:space="preserve"> </t>
    </r>
  </si>
  <si>
    <t>Total Personnel (without fringe)</t>
  </si>
  <si>
    <r>
      <t xml:space="preserve">Fringe, </t>
    </r>
    <r>
      <rPr>
        <i/>
        <sz val="9"/>
        <color indexed="8"/>
        <rFont val="Calibri"/>
        <family val="2"/>
      </rPr>
      <t xml:space="preserve">including </t>
    </r>
    <r>
      <rPr>
        <i/>
        <sz val="9"/>
        <color indexed="10"/>
        <rFont val="Calibri"/>
        <family val="2"/>
      </rPr>
      <t>FICA, workers compensation, benefits</t>
    </r>
    <r>
      <rPr>
        <i/>
        <sz val="9"/>
        <color indexed="8"/>
        <rFont val="Calibri"/>
        <family val="2"/>
      </rPr>
      <t xml:space="preserve"> </t>
    </r>
  </si>
  <si>
    <r>
      <t>Rural Landfill Operator Training (</t>
    </r>
    <r>
      <rPr>
        <sz val="9"/>
        <color indexed="10"/>
        <rFont val="Calibri"/>
        <family val="2"/>
      </rPr>
      <t>operator and technician, alternate years)</t>
    </r>
  </si>
  <si>
    <t>people</t>
  </si>
  <si>
    <t>ATCEM &amp; AFE (Coordinator goes to both, Assistant to one)</t>
  </si>
  <si>
    <t>Training &amp; Travel Total</t>
  </si>
  <si>
    <t>Office supplies</t>
  </si>
  <si>
    <t>Miscellaneous</t>
  </si>
  <si>
    <t>Safety gear for Solid Waste Technicians</t>
  </si>
  <si>
    <t>Supplies Total</t>
  </si>
  <si>
    <t>Equipment Fuel and Maintenance</t>
  </si>
  <si>
    <t>Equipment Fuel</t>
  </si>
  <si>
    <t>Dozer fuel</t>
  </si>
  <si>
    <t>Equipment Maintenance &amp; Equipment Insurance</t>
  </si>
  <si>
    <r>
      <t>Dozer - Parts &amp; Maintenance</t>
    </r>
    <r>
      <rPr>
        <sz val="9"/>
        <color indexed="8"/>
        <rFont val="Calibri"/>
        <family val="2"/>
      </rPr>
      <t xml:space="preserve"> </t>
    </r>
  </si>
  <si>
    <t>yearly</t>
  </si>
  <si>
    <t>Insurance</t>
  </si>
  <si>
    <t>Equipment Fuel and Maintenance Total</t>
  </si>
  <si>
    <t>Rent &amp; Utilities</t>
  </si>
  <si>
    <t xml:space="preserve">Phone, Fax, Internet </t>
  </si>
  <si>
    <t>Phone &amp; Fax</t>
  </si>
  <si>
    <t>month</t>
  </si>
  <si>
    <t>Internet</t>
  </si>
  <si>
    <t>Phone, Fax, Internet Total</t>
  </si>
  <si>
    <t>Utilities</t>
  </si>
  <si>
    <t>year</t>
  </si>
  <si>
    <t>Rent</t>
  </si>
  <si>
    <t>Rent and Utilities Total</t>
  </si>
  <si>
    <t>Backhaul Shipping and Vendor Costs</t>
  </si>
  <si>
    <t>Freight and Fees, backhaul</t>
  </si>
  <si>
    <t>Total Backhaul Shipping and Vendor Costs</t>
  </si>
  <si>
    <t>Indirect Administrative and Overhead Costs</t>
  </si>
  <si>
    <t>Administration (payroll, bookkeeping)</t>
  </si>
  <si>
    <t>Total Administration and Overhead Expenses</t>
  </si>
  <si>
    <t>Total Annual Expense</t>
  </si>
  <si>
    <t xml:space="preserve">Table 6  Current Annual Operation And Maintenance (O&amp;M) Costs For Solid Waste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</si>
</sst>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quot;$&quot;#,##0"/>
    <numFmt numFmtId="179" formatCode="&quot;$&quot;#,##0.00"/>
    <numFmt numFmtId="180" formatCode="&quot;$&quot;#,##0.0_);[Red]\(&quot;$&quot;#,##0.0\)"/>
    <numFmt numFmtId="181" formatCode="0.000"/>
  </numFmts>
  <fonts count="112">
    <font>
      <sz val="10"/>
      <name val="Arial"/>
      <family val="0"/>
    </font>
    <font>
      <sz val="8"/>
      <name val="Arial"/>
      <family val="2"/>
    </font>
    <font>
      <b/>
      <sz val="11"/>
      <name val="Arial Black"/>
      <family val="2"/>
    </font>
    <font>
      <b/>
      <i/>
      <sz val="10"/>
      <color indexed="17"/>
      <name val="Arial"/>
      <family val="2"/>
    </font>
    <font>
      <sz val="10"/>
      <color indexed="17"/>
      <name val="Arial"/>
      <family val="2"/>
    </font>
    <font>
      <b/>
      <sz val="10"/>
      <color indexed="17"/>
      <name val="Arial"/>
      <family val="2"/>
    </font>
    <font>
      <b/>
      <sz val="10"/>
      <name val="Arial"/>
      <family val="2"/>
    </font>
    <font>
      <i/>
      <sz val="10"/>
      <color indexed="17"/>
      <name val="Arial"/>
      <family val="2"/>
    </font>
    <font>
      <i/>
      <sz val="10"/>
      <color indexed="19"/>
      <name val="Arial"/>
      <family val="2"/>
    </font>
    <font>
      <sz val="10"/>
      <color indexed="10"/>
      <name val="Arial"/>
      <family val="2"/>
    </font>
    <font>
      <b/>
      <sz val="10"/>
      <color indexed="10"/>
      <name val="Arial"/>
      <family val="2"/>
    </font>
    <font>
      <b/>
      <i/>
      <sz val="10"/>
      <name val="Arial"/>
      <family val="2"/>
    </font>
    <font>
      <sz val="10"/>
      <color indexed="53"/>
      <name val="Arial"/>
      <family val="2"/>
    </font>
    <font>
      <sz val="8"/>
      <name val="Tahoma"/>
      <family val="2"/>
    </font>
    <font>
      <b/>
      <sz val="8"/>
      <name val="Tahoma"/>
      <family val="2"/>
    </font>
    <font>
      <sz val="8"/>
      <color indexed="17"/>
      <name val="Tahoma"/>
      <family val="2"/>
    </font>
    <font>
      <i/>
      <sz val="10"/>
      <name val="Arial"/>
      <family val="2"/>
    </font>
    <font>
      <b/>
      <sz val="12"/>
      <name val="Arial"/>
      <family val="2"/>
    </font>
    <font>
      <b/>
      <sz val="10"/>
      <color indexed="8"/>
      <name val="Arial"/>
      <family val="2"/>
    </font>
    <font>
      <sz val="10"/>
      <color indexed="8"/>
      <name val="Arial"/>
      <family val="2"/>
    </font>
    <font>
      <sz val="11"/>
      <name val="Arial"/>
      <family val="2"/>
    </font>
    <font>
      <b/>
      <sz val="11"/>
      <name val="Arial"/>
      <family val="2"/>
    </font>
    <font>
      <sz val="11"/>
      <color indexed="10"/>
      <name val="Arial"/>
      <family val="2"/>
    </font>
    <font>
      <sz val="11"/>
      <color indexed="17"/>
      <name val="Arial"/>
      <family val="2"/>
    </font>
    <font>
      <i/>
      <sz val="11"/>
      <color indexed="17"/>
      <name val="Arial"/>
      <family val="2"/>
    </font>
    <font>
      <b/>
      <sz val="11"/>
      <color indexed="10"/>
      <name val="Arial"/>
      <family val="2"/>
    </font>
    <font>
      <i/>
      <sz val="11"/>
      <color indexed="10"/>
      <name val="Arial"/>
      <family val="2"/>
    </font>
    <font>
      <sz val="10"/>
      <name val="Times New Roman"/>
      <family val="1"/>
    </font>
    <font>
      <i/>
      <sz val="11"/>
      <name val="Arial"/>
      <family val="2"/>
    </font>
    <font>
      <i/>
      <sz val="11"/>
      <name val="Arial Black"/>
      <family val="2"/>
    </font>
    <font>
      <b/>
      <sz val="11"/>
      <color indexed="17"/>
      <name val="Arial"/>
      <family val="2"/>
    </font>
    <font>
      <b/>
      <u val="single"/>
      <sz val="11"/>
      <color indexed="10"/>
      <name val="Arial"/>
      <family val="2"/>
    </font>
    <font>
      <sz val="11"/>
      <name val="Arial Black"/>
      <family val="2"/>
    </font>
    <font>
      <b/>
      <sz val="10"/>
      <name val="Arial Black"/>
      <family val="2"/>
    </font>
    <font>
      <b/>
      <i/>
      <sz val="11"/>
      <name val="Arial"/>
      <family val="2"/>
    </font>
    <font>
      <b/>
      <u val="single"/>
      <sz val="10"/>
      <color indexed="10"/>
      <name val="Arial"/>
      <family val="2"/>
    </font>
    <font>
      <sz val="12"/>
      <color indexed="10"/>
      <name val="Arial"/>
      <family val="2"/>
    </font>
    <font>
      <sz val="12"/>
      <name val="Arial"/>
      <family val="2"/>
    </font>
    <font>
      <b/>
      <sz val="9"/>
      <name val="Arial Black"/>
      <family val="2"/>
    </font>
    <font>
      <sz val="9"/>
      <name val="Arial"/>
      <family val="2"/>
    </font>
    <font>
      <sz val="9"/>
      <color indexed="10"/>
      <name val="Arial"/>
      <family val="2"/>
    </font>
    <font>
      <b/>
      <sz val="9"/>
      <name val="Arial"/>
      <family val="2"/>
    </font>
    <font>
      <sz val="9"/>
      <color indexed="8"/>
      <name val="Arial"/>
      <family val="2"/>
    </font>
    <font>
      <b/>
      <sz val="8"/>
      <name val="Arial Black"/>
      <family val="2"/>
    </font>
    <font>
      <i/>
      <sz val="8"/>
      <color indexed="17"/>
      <name val="Arial Black"/>
      <family val="2"/>
    </font>
    <font>
      <sz val="8"/>
      <name val="Arial Black"/>
      <family val="2"/>
    </font>
    <font>
      <b/>
      <i/>
      <sz val="9"/>
      <name val="Arial"/>
      <family val="2"/>
    </font>
    <font>
      <b/>
      <i/>
      <sz val="9"/>
      <color indexed="17"/>
      <name val="Arial"/>
      <family val="2"/>
    </font>
    <font>
      <u val="single"/>
      <sz val="10"/>
      <color indexed="12"/>
      <name val="Arial"/>
      <family val="2"/>
    </font>
    <font>
      <u val="single"/>
      <sz val="10"/>
      <color indexed="36"/>
      <name val="Arial"/>
      <family val="2"/>
    </font>
    <font>
      <b/>
      <sz val="12"/>
      <color indexed="10"/>
      <name val="Arial"/>
      <family val="2"/>
    </font>
    <font>
      <i/>
      <sz val="10"/>
      <color indexed="10"/>
      <name val="Arial"/>
      <family val="2"/>
    </font>
    <font>
      <sz val="10"/>
      <color indexed="12"/>
      <name val="Arial"/>
      <family val="2"/>
    </font>
    <font>
      <sz val="10"/>
      <color indexed="18"/>
      <name val="Arial"/>
      <family val="2"/>
    </font>
    <font>
      <sz val="8"/>
      <name val="Verdana"/>
      <family val="2"/>
    </font>
    <font>
      <b/>
      <sz val="14"/>
      <name val="Arial"/>
      <family val="2"/>
    </font>
    <font>
      <b/>
      <sz val="14"/>
      <name val="Arial Black"/>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Calibri"/>
      <family val="2"/>
    </font>
    <font>
      <sz val="9"/>
      <name val="Calibri"/>
      <family val="2"/>
    </font>
    <font>
      <b/>
      <sz val="9"/>
      <color indexed="8"/>
      <name val="Calibri"/>
      <family val="2"/>
    </font>
    <font>
      <sz val="9"/>
      <color indexed="10"/>
      <name val="Calibri"/>
      <family val="2"/>
    </font>
    <font>
      <sz val="9"/>
      <color indexed="8"/>
      <name val="Calibri"/>
      <family val="2"/>
    </font>
    <font>
      <b/>
      <i/>
      <sz val="9"/>
      <color indexed="8"/>
      <name val="Calibri"/>
      <family val="2"/>
    </font>
    <font>
      <i/>
      <sz val="9"/>
      <color indexed="10"/>
      <name val="Calibri"/>
      <family val="2"/>
    </font>
    <font>
      <i/>
      <sz val="9"/>
      <color indexed="8"/>
      <name val="Calibri"/>
      <family val="2"/>
    </font>
    <font>
      <b/>
      <i/>
      <sz val="9"/>
      <color indexed="10"/>
      <name val="Calibri"/>
      <family val="2"/>
    </font>
    <font>
      <b/>
      <sz val="9"/>
      <color indexed="10"/>
      <name val="Calibri"/>
      <family val="2"/>
    </font>
    <font>
      <sz val="12"/>
      <color indexed="8"/>
      <name val="Calibri"/>
      <family val="2"/>
    </font>
    <font>
      <i/>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Calibri"/>
      <family val="2"/>
    </font>
    <font>
      <sz val="9"/>
      <color rgb="FFFF0000"/>
      <name val="Calibri"/>
      <family val="2"/>
    </font>
    <font>
      <sz val="9"/>
      <color rgb="FF000000"/>
      <name val="Calibri"/>
      <family val="2"/>
    </font>
    <font>
      <b/>
      <i/>
      <sz val="9"/>
      <color rgb="FF000000"/>
      <name val="Calibri"/>
      <family val="2"/>
    </font>
    <font>
      <i/>
      <sz val="9"/>
      <color rgb="FFFF0000"/>
      <name val="Calibri"/>
      <family val="2"/>
    </font>
    <font>
      <i/>
      <sz val="9"/>
      <color rgb="FF000000"/>
      <name val="Calibri"/>
      <family val="2"/>
    </font>
    <font>
      <b/>
      <i/>
      <sz val="9"/>
      <color rgb="FFFF0000"/>
      <name val="Calibri"/>
      <family val="2"/>
    </font>
    <font>
      <b/>
      <sz val="9"/>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5"/>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rgb="FF9CC2E5"/>
        <bgColor indexed="64"/>
      </patternFill>
    </fill>
    <fill>
      <patternFill patternType="solid">
        <fgColor rgb="FFD9D9D9"/>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thin"/>
      <top style="thin"/>
      <bottom style="thin"/>
    </border>
    <border>
      <left style="medium"/>
      <right style="medium"/>
      <top style="medium"/>
      <bottom>
        <color indexed="63"/>
      </bottom>
    </border>
    <border>
      <left style="double"/>
      <right style="medium"/>
      <top>
        <color indexed="63"/>
      </top>
      <bottom style="double"/>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double"/>
      <top>
        <color indexed="63"/>
      </top>
      <bottom style="double"/>
    </border>
    <border>
      <left>
        <color indexed="63"/>
      </left>
      <right>
        <color indexed="63"/>
      </right>
      <top style="medium"/>
      <bottom style="medium"/>
    </border>
    <border>
      <left style="medium"/>
      <right style="thick"/>
      <top style="thin"/>
      <bottom style="thick"/>
    </border>
    <border>
      <left style="medium"/>
      <right>
        <color indexed="63"/>
      </right>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
      <left style="double"/>
      <right style="medium"/>
      <top>
        <color indexed="63"/>
      </top>
      <bottom style="medium"/>
    </border>
    <border>
      <left style="double"/>
      <right style="medium"/>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48"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448">
    <xf numFmtId="0" fontId="0" fillId="0" borderId="0" xfId="0"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11" fillId="0" borderId="10" xfId="0" applyFont="1" applyBorder="1" applyAlignment="1">
      <alignment vertical="top" wrapText="1"/>
    </xf>
    <xf numFmtId="0" fontId="0" fillId="33" borderId="10" xfId="0" applyFont="1" applyFill="1" applyBorder="1" applyAlignment="1">
      <alignment vertical="top" wrapText="1"/>
    </xf>
    <xf numFmtId="0" fontId="0" fillId="34" borderId="12" xfId="0" applyFont="1" applyFill="1" applyBorder="1" applyAlignment="1">
      <alignment vertical="top" wrapText="1"/>
    </xf>
    <xf numFmtId="0" fontId="0" fillId="33" borderId="11" xfId="0" applyFont="1" applyFill="1" applyBorder="1" applyAlignment="1">
      <alignment vertical="top" wrapText="1"/>
    </xf>
    <xf numFmtId="0" fontId="17" fillId="0" borderId="0" xfId="0" applyFont="1" applyAlignment="1">
      <alignment horizontal="centerContinuous"/>
    </xf>
    <xf numFmtId="0" fontId="6" fillId="0" borderId="0" xfId="0" applyFont="1" applyAlignment="1">
      <alignment horizontal="centerContinuous"/>
    </xf>
    <xf numFmtId="0" fontId="18" fillId="0" borderId="0" xfId="0" applyFont="1" applyAlignment="1">
      <alignment horizontal="centerContinuous"/>
    </xf>
    <xf numFmtId="0" fontId="19" fillId="35" borderId="13" xfId="0" applyFont="1" applyFill="1" applyBorder="1" applyAlignment="1">
      <alignment horizontal="center" vertical="top" wrapText="1"/>
    </xf>
    <xf numFmtId="0" fontId="6" fillId="35" borderId="13" xfId="0" applyFont="1" applyFill="1" applyBorder="1" applyAlignment="1">
      <alignment vertical="top" wrapText="1"/>
    </xf>
    <xf numFmtId="0" fontId="18" fillId="35" borderId="13" xfId="0" applyFont="1" applyFill="1" applyBorder="1" applyAlignment="1">
      <alignment horizontal="center" vertical="top" wrapText="1"/>
    </xf>
    <xf numFmtId="0" fontId="18" fillId="35" borderId="13" xfId="0" applyFont="1" applyFill="1" applyBorder="1" applyAlignment="1">
      <alignment vertical="top" wrapText="1"/>
    </xf>
    <xf numFmtId="0" fontId="0" fillId="0" borderId="13" xfId="0" applyFont="1" applyBorder="1" applyAlignment="1">
      <alignment vertical="top" wrapText="1"/>
    </xf>
    <xf numFmtId="0" fontId="9" fillId="0" borderId="13" xfId="0" applyFont="1" applyBorder="1" applyAlignment="1">
      <alignment/>
    </xf>
    <xf numFmtId="0" fontId="19" fillId="0" borderId="13" xfId="0" applyFont="1" applyBorder="1" applyAlignment="1">
      <alignment horizontal="center" vertical="top" wrapText="1"/>
    </xf>
    <xf numFmtId="0" fontId="19" fillId="0" borderId="13" xfId="0" applyFont="1" applyBorder="1" applyAlignment="1">
      <alignment vertical="top" wrapText="1"/>
    </xf>
    <xf numFmtId="0" fontId="9" fillId="0" borderId="13" xfId="0" applyFont="1" applyBorder="1" applyAlignment="1">
      <alignment vertical="top" wrapText="1"/>
    </xf>
    <xf numFmtId="0" fontId="0" fillId="0" borderId="13" xfId="0" applyFont="1" applyFill="1" applyBorder="1" applyAlignment="1">
      <alignment vertical="top" wrapText="1"/>
    </xf>
    <xf numFmtId="0" fontId="19" fillId="0" borderId="13" xfId="0" applyFont="1" applyBorder="1" applyAlignment="1">
      <alignment/>
    </xf>
    <xf numFmtId="0" fontId="19" fillId="0" borderId="0" xfId="0" applyFont="1" applyAlignment="1">
      <alignment/>
    </xf>
    <xf numFmtId="0" fontId="20" fillId="0" borderId="14" xfId="0" applyFont="1" applyBorder="1" applyAlignment="1">
      <alignment vertical="top" wrapText="1"/>
    </xf>
    <xf numFmtId="3" fontId="0" fillId="0" borderId="0" xfId="0" applyNumberFormat="1" applyAlignment="1">
      <alignment/>
    </xf>
    <xf numFmtId="0" fontId="21" fillId="0" borderId="10" xfId="0" applyFont="1" applyBorder="1" applyAlignment="1">
      <alignment vertical="top" wrapText="1"/>
    </xf>
    <xf numFmtId="0" fontId="20" fillId="0" borderId="10" xfId="0" applyFont="1" applyBorder="1" applyAlignment="1">
      <alignment vertical="top" wrapText="1"/>
    </xf>
    <xf numFmtId="0" fontId="21" fillId="0" borderId="15" xfId="0" applyFont="1" applyBorder="1" applyAlignment="1">
      <alignment vertical="top" wrapText="1"/>
    </xf>
    <xf numFmtId="0" fontId="24" fillId="0" borderId="10" xfId="0" applyFont="1" applyBorder="1" applyAlignment="1">
      <alignment vertical="top" wrapText="1"/>
    </xf>
    <xf numFmtId="0" fontId="20" fillId="0" borderId="16" xfId="0" applyFont="1" applyBorder="1" applyAlignment="1">
      <alignment vertical="top" wrapText="1"/>
    </xf>
    <xf numFmtId="0" fontId="24" fillId="0" borderId="17" xfId="0" applyFont="1" applyBorder="1" applyAlignment="1">
      <alignment vertical="top" wrapText="1"/>
    </xf>
    <xf numFmtId="0" fontId="20" fillId="0" borderId="18" xfId="0" applyFont="1" applyBorder="1" applyAlignment="1">
      <alignment vertical="top" wrapText="1"/>
    </xf>
    <xf numFmtId="0" fontId="22" fillId="0" borderId="14" xfId="0" applyFont="1" applyBorder="1" applyAlignment="1">
      <alignment vertical="top" wrapText="1"/>
    </xf>
    <xf numFmtId="0" fontId="21" fillId="35" borderId="11" xfId="0" applyFont="1" applyFill="1" applyBorder="1" applyAlignment="1">
      <alignment vertical="top" wrapText="1"/>
    </xf>
    <xf numFmtId="0" fontId="20" fillId="0" borderId="11" xfId="0" applyFont="1" applyBorder="1" applyAlignment="1">
      <alignment vertical="top" wrapText="1"/>
    </xf>
    <xf numFmtId="6" fontId="22" fillId="0" borderId="10" xfId="0" applyNumberFormat="1" applyFont="1" applyBorder="1" applyAlignment="1">
      <alignment horizontal="right" vertical="top" wrapText="1"/>
    </xf>
    <xf numFmtId="6" fontId="22" fillId="0" borderId="11" xfId="0" applyNumberFormat="1" applyFont="1" applyBorder="1" applyAlignment="1">
      <alignment horizontal="right" vertical="top" wrapText="1"/>
    </xf>
    <xf numFmtId="178" fontId="22" fillId="0" borderId="14" xfId="0" applyNumberFormat="1" applyFont="1" applyBorder="1" applyAlignment="1">
      <alignment horizontal="right" vertical="top" wrapText="1"/>
    </xf>
    <xf numFmtId="0" fontId="23" fillId="0" borderId="11" xfId="0" applyFont="1" applyBorder="1" applyAlignment="1">
      <alignment vertical="top" wrapText="1"/>
    </xf>
    <xf numFmtId="0" fontId="0" fillId="34" borderId="0" xfId="0" applyFont="1" applyFill="1" applyBorder="1" applyAlignment="1">
      <alignment vertical="top" wrapText="1"/>
    </xf>
    <xf numFmtId="0" fontId="0" fillId="34" borderId="19" xfId="0" applyFont="1" applyFill="1" applyBorder="1" applyAlignment="1">
      <alignment vertical="top" wrapText="1"/>
    </xf>
    <xf numFmtId="3" fontId="0" fillId="34" borderId="12" xfId="0" applyNumberFormat="1" applyFont="1" applyFill="1" applyBorder="1" applyAlignment="1">
      <alignment vertical="top" wrapText="1"/>
    </xf>
    <xf numFmtId="3" fontId="0" fillId="34" borderId="19" xfId="0" applyNumberFormat="1" applyFont="1" applyFill="1" applyBorder="1" applyAlignment="1">
      <alignment vertical="top" wrapText="1"/>
    </xf>
    <xf numFmtId="0" fontId="20" fillId="0" borderId="12" xfId="0" applyFont="1" applyBorder="1" applyAlignment="1">
      <alignment vertical="top" wrapText="1"/>
    </xf>
    <xf numFmtId="0" fontId="22" fillId="0" borderId="12" xfId="0" applyFont="1" applyBorder="1" applyAlignment="1">
      <alignment vertical="top" wrapText="1"/>
    </xf>
    <xf numFmtId="0" fontId="21" fillId="36" borderId="20" xfId="0" applyFont="1" applyFill="1" applyBorder="1" applyAlignment="1">
      <alignment horizontal="center" vertical="top" wrapText="1"/>
    </xf>
    <xf numFmtId="0" fontId="6" fillId="33" borderId="10" xfId="0" applyFont="1" applyFill="1" applyBorder="1" applyAlignment="1">
      <alignment vertical="top"/>
    </xf>
    <xf numFmtId="9" fontId="9" fillId="0" borderId="16" xfId="0" applyNumberFormat="1" applyFont="1" applyBorder="1" applyAlignment="1">
      <alignment horizontal="center" vertical="top" wrapText="1"/>
    </xf>
    <xf numFmtId="0" fontId="9" fillId="0" borderId="16" xfId="0" applyFont="1" applyBorder="1" applyAlignment="1">
      <alignment horizontal="center"/>
    </xf>
    <xf numFmtId="0" fontId="6" fillId="0" borderId="10" xfId="0" applyFont="1" applyBorder="1" applyAlignment="1">
      <alignment/>
    </xf>
    <xf numFmtId="0" fontId="27" fillId="0" borderId="0" xfId="0" applyFont="1" applyAlignment="1">
      <alignment wrapText="1"/>
    </xf>
    <xf numFmtId="0" fontId="21" fillId="36" borderId="0" xfId="0" applyFont="1" applyFill="1" applyBorder="1" applyAlignment="1">
      <alignment horizontal="center" vertical="top" wrapText="1"/>
    </xf>
    <xf numFmtId="0" fontId="5" fillId="0" borderId="21" xfId="0" applyFont="1" applyBorder="1" applyAlignment="1">
      <alignment horizontal="center" vertical="top" wrapText="1"/>
    </xf>
    <xf numFmtId="0" fontId="4" fillId="0" borderId="16" xfId="0" applyFont="1" applyBorder="1" applyAlignment="1">
      <alignment horizontal="center" wrapText="1"/>
    </xf>
    <xf numFmtId="0" fontId="21" fillId="36" borderId="12" xfId="0" applyFont="1" applyFill="1" applyBorder="1" applyAlignment="1">
      <alignment horizontal="center" vertical="top" wrapText="1"/>
    </xf>
    <xf numFmtId="176" fontId="0" fillId="0" borderId="0" xfId="0" applyNumberFormat="1" applyAlignment="1">
      <alignment/>
    </xf>
    <xf numFmtId="3" fontId="21" fillId="36" borderId="20" xfId="0" applyNumberFormat="1" applyFont="1" applyFill="1" applyBorder="1" applyAlignment="1">
      <alignment horizontal="center" vertical="top" wrapText="1"/>
    </xf>
    <xf numFmtId="176" fontId="21" fillId="36" borderId="12" xfId="0" applyNumberFormat="1" applyFont="1" applyFill="1" applyBorder="1" applyAlignment="1">
      <alignment horizontal="center" vertical="top" wrapText="1"/>
    </xf>
    <xf numFmtId="3" fontId="27" fillId="0" borderId="0" xfId="0" applyNumberFormat="1" applyFont="1" applyAlignment="1">
      <alignment wrapText="1"/>
    </xf>
    <xf numFmtId="3" fontId="4" fillId="0" borderId="11" xfId="0" applyNumberFormat="1" applyFont="1" applyBorder="1" applyAlignment="1">
      <alignment vertical="top" wrapText="1"/>
    </xf>
    <xf numFmtId="3" fontId="5" fillId="0" borderId="10" xfId="0" applyNumberFormat="1" applyFont="1" applyBorder="1" applyAlignment="1">
      <alignment wrapText="1"/>
    </xf>
    <xf numFmtId="0" fontId="6" fillId="33" borderId="11" xfId="0" applyFont="1" applyFill="1" applyBorder="1" applyAlignment="1">
      <alignment vertical="top"/>
    </xf>
    <xf numFmtId="9" fontId="9" fillId="0" borderId="21" xfId="0" applyNumberFormat="1" applyFont="1" applyBorder="1" applyAlignment="1">
      <alignment horizontal="center" vertical="top" wrapText="1"/>
    </xf>
    <xf numFmtId="0" fontId="9" fillId="0" borderId="21" xfId="0" applyFont="1" applyBorder="1" applyAlignment="1">
      <alignment horizontal="center"/>
    </xf>
    <xf numFmtId="9" fontId="9" fillId="0" borderId="16" xfId="0" applyNumberFormat="1" applyFont="1" applyBorder="1" applyAlignment="1">
      <alignment horizontal="center" wrapText="1"/>
    </xf>
    <xf numFmtId="3" fontId="0" fillId="0" borderId="10" xfId="0" applyNumberFormat="1" applyFont="1" applyBorder="1" applyAlignment="1">
      <alignment horizontal="right" wrapText="1"/>
    </xf>
    <xf numFmtId="0" fontId="9" fillId="0" borderId="10" xfId="0" applyFont="1" applyBorder="1" applyAlignment="1">
      <alignment horizontal="center"/>
    </xf>
    <xf numFmtId="176" fontId="0" fillId="0" borderId="10" xfId="0" applyNumberFormat="1" applyBorder="1" applyAlignment="1">
      <alignment/>
    </xf>
    <xf numFmtId="0" fontId="0" fillId="0" borderId="0" xfId="0" applyBorder="1" applyAlignment="1">
      <alignment/>
    </xf>
    <xf numFmtId="0" fontId="21" fillId="36" borderId="11" xfId="0" applyFont="1" applyFill="1" applyBorder="1" applyAlignment="1">
      <alignment vertical="top"/>
    </xf>
    <xf numFmtId="0" fontId="7" fillId="36" borderId="11" xfId="0" applyFont="1" applyFill="1" applyBorder="1" applyAlignment="1">
      <alignment horizontal="center" vertical="top" wrapText="1"/>
    </xf>
    <xf numFmtId="3" fontId="0" fillId="0" borderId="11" xfId="0" applyNumberFormat="1" applyBorder="1" applyAlignment="1">
      <alignment/>
    </xf>
    <xf numFmtId="6" fontId="21" fillId="0" borderId="22" xfId="0" applyNumberFormat="1" applyFont="1" applyBorder="1" applyAlignment="1">
      <alignment horizontal="right" vertical="top" wrapText="1"/>
    </xf>
    <xf numFmtId="0" fontId="30" fillId="35" borderId="11" xfId="0" applyFont="1" applyFill="1" applyBorder="1" applyAlignment="1">
      <alignment vertical="top" wrapText="1"/>
    </xf>
    <xf numFmtId="0" fontId="21" fillId="33" borderId="12" xfId="0" applyFont="1" applyFill="1" applyBorder="1" applyAlignment="1">
      <alignment horizontal="center" vertical="top" wrapText="1"/>
    </xf>
    <xf numFmtId="0" fontId="25" fillId="33" borderId="20" xfId="0" applyFont="1" applyFill="1" applyBorder="1" applyAlignment="1">
      <alignment horizontal="center" vertical="top" wrapText="1"/>
    </xf>
    <xf numFmtId="0" fontId="25" fillId="33" borderId="12" xfId="0" applyFont="1" applyFill="1" applyBorder="1" applyAlignment="1">
      <alignment horizontal="center" vertical="top" wrapText="1"/>
    </xf>
    <xf numFmtId="0" fontId="31" fillId="33" borderId="12" xfId="0" applyFont="1" applyFill="1" applyBorder="1" applyAlignment="1">
      <alignment horizontal="center" vertical="top" wrapText="1"/>
    </xf>
    <xf numFmtId="0" fontId="21" fillId="33" borderId="10" xfId="0" applyFont="1" applyFill="1" applyBorder="1" applyAlignment="1">
      <alignment horizontal="center" vertical="top" wrapText="1"/>
    </xf>
    <xf numFmtId="0" fontId="25" fillId="33" borderId="16" xfId="0" applyFont="1" applyFill="1" applyBorder="1" applyAlignment="1">
      <alignment horizontal="center" vertical="top" wrapText="1"/>
    </xf>
    <xf numFmtId="0" fontId="25" fillId="33" borderId="10" xfId="0" applyFont="1" applyFill="1" applyBorder="1" applyAlignment="1">
      <alignment horizontal="center" vertical="top" wrapText="1"/>
    </xf>
    <xf numFmtId="3" fontId="0" fillId="0" borderId="16" xfId="0" applyNumberFormat="1" applyFont="1" applyBorder="1" applyAlignment="1">
      <alignment horizontal="right" wrapText="1"/>
    </xf>
    <xf numFmtId="3" fontId="4" fillId="36" borderId="20" xfId="0" applyNumberFormat="1" applyFont="1" applyFill="1" applyBorder="1" applyAlignment="1">
      <alignment vertical="top" wrapText="1"/>
    </xf>
    <xf numFmtId="0" fontId="20" fillId="36" borderId="23" xfId="0" applyFont="1" applyFill="1" applyBorder="1" applyAlignment="1">
      <alignment horizontal="center" vertical="top"/>
    </xf>
    <xf numFmtId="0" fontId="20" fillId="36" borderId="11" xfId="0" applyFont="1" applyFill="1" applyBorder="1" applyAlignment="1">
      <alignment horizontal="center" vertical="top"/>
    </xf>
    <xf numFmtId="176" fontId="20" fillId="36" borderId="11" xfId="0" applyNumberFormat="1" applyFont="1" applyFill="1" applyBorder="1" applyAlignment="1">
      <alignment/>
    </xf>
    <xf numFmtId="0" fontId="4" fillId="36" borderId="0" xfId="0" applyFont="1" applyFill="1" applyBorder="1" applyAlignment="1">
      <alignment horizontal="center" vertical="top" wrapText="1"/>
    </xf>
    <xf numFmtId="0" fontId="11" fillId="33" borderId="10" xfId="0" applyFont="1" applyFill="1" applyBorder="1" applyAlignment="1">
      <alignment horizontal="justify" vertical="top"/>
    </xf>
    <xf numFmtId="3" fontId="7" fillId="36" borderId="11" xfId="0" applyNumberFormat="1" applyFont="1" applyFill="1" applyBorder="1" applyAlignment="1">
      <alignment vertical="top" wrapText="1"/>
    </xf>
    <xf numFmtId="0" fontId="24" fillId="36" borderId="11" xfId="0" applyFont="1" applyFill="1" applyBorder="1" applyAlignment="1">
      <alignment horizontal="center" vertical="top" wrapText="1"/>
    </xf>
    <xf numFmtId="176" fontId="24" fillId="36" borderId="11" xfId="0" applyNumberFormat="1" applyFont="1" applyFill="1" applyBorder="1" applyAlignment="1">
      <alignment horizontal="center" vertical="top" wrapText="1"/>
    </xf>
    <xf numFmtId="0" fontId="4" fillId="36" borderId="20" xfId="0" applyFont="1" applyFill="1" applyBorder="1" applyAlignment="1">
      <alignment horizontal="left" vertical="top" wrapText="1"/>
    </xf>
    <xf numFmtId="176" fontId="6" fillId="0" borderId="24" xfId="0" applyNumberFormat="1" applyFont="1" applyBorder="1" applyAlignment="1">
      <alignment/>
    </xf>
    <xf numFmtId="0" fontId="0" fillId="37" borderId="16" xfId="0" applyFont="1" applyFill="1" applyBorder="1" applyAlignment="1">
      <alignment horizontal="right" vertical="top" wrapText="1"/>
    </xf>
    <xf numFmtId="0" fontId="24" fillId="0" borderId="12" xfId="0" applyFont="1" applyBorder="1" applyAlignment="1">
      <alignment vertical="top" wrapText="1"/>
    </xf>
    <xf numFmtId="0" fontId="23" fillId="0" borderId="10" xfId="0" applyFont="1" applyBorder="1" applyAlignment="1">
      <alignment vertical="top" wrapText="1"/>
    </xf>
    <xf numFmtId="0" fontId="21" fillId="0" borderId="18" xfId="0" applyFont="1" applyBorder="1" applyAlignment="1">
      <alignment vertical="top" wrapText="1"/>
    </xf>
    <xf numFmtId="6" fontId="21" fillId="0" borderId="11" xfId="0" applyNumberFormat="1" applyFont="1" applyBorder="1" applyAlignment="1">
      <alignment horizontal="right" vertical="top" wrapText="1"/>
    </xf>
    <xf numFmtId="0" fontId="32" fillId="33" borderId="25" xfId="0" applyFont="1" applyFill="1" applyBorder="1" applyAlignment="1">
      <alignment horizontal="center" vertical="top" wrapText="1"/>
    </xf>
    <xf numFmtId="0" fontId="32" fillId="33" borderId="11" xfId="0" applyFont="1" applyFill="1" applyBorder="1" applyAlignment="1">
      <alignment horizontal="center" vertical="top" wrapText="1"/>
    </xf>
    <xf numFmtId="0" fontId="32" fillId="33" borderId="21" xfId="0" applyFont="1" applyFill="1" applyBorder="1" applyAlignment="1">
      <alignment horizontal="center" vertical="top" wrapText="1"/>
    </xf>
    <xf numFmtId="0" fontId="20" fillId="35" borderId="21" xfId="0" applyFont="1" applyFill="1" applyBorder="1" applyAlignment="1">
      <alignment horizontal="center" vertical="top"/>
    </xf>
    <xf numFmtId="0" fontId="20" fillId="35" borderId="11" xfId="0" applyFont="1" applyFill="1" applyBorder="1" applyAlignment="1">
      <alignment horizontal="center" vertical="top" wrapText="1"/>
    </xf>
    <xf numFmtId="0" fontId="21" fillId="35" borderId="21" xfId="0" applyFont="1" applyFill="1" applyBorder="1" applyAlignment="1">
      <alignment horizontal="center" vertical="top" wrapText="1"/>
    </xf>
    <xf numFmtId="0" fontId="0" fillId="35" borderId="13" xfId="0" applyFont="1" applyFill="1" applyBorder="1" applyAlignment="1">
      <alignment horizontal="center" vertical="top" wrapText="1"/>
    </xf>
    <xf numFmtId="0" fontId="6" fillId="34" borderId="12" xfId="0" applyFont="1" applyFill="1" applyBorder="1" applyAlignment="1">
      <alignment vertical="top" wrapText="1"/>
    </xf>
    <xf numFmtId="0" fontId="0" fillId="34" borderId="11" xfId="0" applyFont="1" applyFill="1" applyBorder="1" applyAlignment="1">
      <alignment vertical="top" wrapText="1"/>
    </xf>
    <xf numFmtId="0" fontId="0" fillId="34" borderId="23" xfId="0" applyFont="1" applyFill="1" applyBorder="1" applyAlignment="1">
      <alignment vertical="top" wrapText="1"/>
    </xf>
    <xf numFmtId="0" fontId="0" fillId="34" borderId="25" xfId="0" applyFont="1" applyFill="1" applyBorder="1" applyAlignment="1">
      <alignment vertical="top" wrapText="1"/>
    </xf>
    <xf numFmtId="3" fontId="0" fillId="34" borderId="25" xfId="0" applyNumberFormat="1" applyFont="1" applyFill="1" applyBorder="1" applyAlignment="1">
      <alignment vertical="top" wrapText="1"/>
    </xf>
    <xf numFmtId="3" fontId="0" fillId="34" borderId="11" xfId="0" applyNumberFormat="1" applyFont="1" applyFill="1" applyBorder="1" applyAlignment="1">
      <alignment vertical="top" wrapText="1"/>
    </xf>
    <xf numFmtId="0" fontId="22" fillId="38" borderId="26" xfId="0" applyFont="1" applyFill="1" applyBorder="1" applyAlignment="1">
      <alignment vertical="top" wrapText="1"/>
    </xf>
    <xf numFmtId="0" fontId="22" fillId="38" borderId="20" xfId="0" applyFont="1" applyFill="1" applyBorder="1" applyAlignment="1">
      <alignment vertical="top" wrapText="1"/>
    </xf>
    <xf numFmtId="0" fontId="22" fillId="38" borderId="27" xfId="0" applyFont="1" applyFill="1" applyBorder="1" applyAlignment="1">
      <alignment vertical="top" wrapText="1"/>
    </xf>
    <xf numFmtId="0" fontId="10" fillId="38" borderId="20" xfId="0" applyFont="1" applyFill="1" applyBorder="1" applyAlignment="1">
      <alignment vertical="top" wrapText="1"/>
    </xf>
    <xf numFmtId="0" fontId="10" fillId="38" borderId="28" xfId="0" applyFont="1" applyFill="1" applyBorder="1" applyAlignment="1">
      <alignment vertical="top" wrapText="1"/>
    </xf>
    <xf numFmtId="0" fontId="35" fillId="38" borderId="28" xfId="0" applyFont="1" applyFill="1" applyBorder="1" applyAlignment="1">
      <alignment vertical="top" wrapText="1"/>
    </xf>
    <xf numFmtId="0" fontId="20" fillId="33" borderId="16" xfId="0" applyFont="1" applyFill="1" applyBorder="1" applyAlignment="1">
      <alignment vertical="top" wrapText="1"/>
    </xf>
    <xf numFmtId="0" fontId="9" fillId="33" borderId="13" xfId="0" applyFont="1" applyFill="1" applyBorder="1" applyAlignment="1">
      <alignment vertical="top" wrapText="1"/>
    </xf>
    <xf numFmtId="6" fontId="22" fillId="0" borderId="13" xfId="0" applyNumberFormat="1" applyFont="1" applyBorder="1" applyAlignment="1">
      <alignment horizontal="right" vertical="top" wrapText="1"/>
    </xf>
    <xf numFmtId="0" fontId="20" fillId="0" borderId="13" xfId="0" applyFont="1" applyBorder="1" applyAlignment="1">
      <alignment vertical="top" wrapText="1"/>
    </xf>
    <xf numFmtId="0" fontId="22" fillId="0" borderId="13" xfId="0" applyFont="1" applyBorder="1" applyAlignment="1">
      <alignment vertical="top" wrapText="1"/>
    </xf>
    <xf numFmtId="0" fontId="22" fillId="33" borderId="13" xfId="0" applyFont="1" applyFill="1" applyBorder="1" applyAlignment="1">
      <alignment vertical="top" wrapText="1"/>
    </xf>
    <xf numFmtId="0" fontId="24" fillId="33" borderId="16" xfId="0" applyFont="1" applyFill="1" applyBorder="1" applyAlignment="1">
      <alignment vertical="top" wrapText="1"/>
    </xf>
    <xf numFmtId="0" fontId="36" fillId="0" borderId="16" xfId="0" applyFont="1" applyBorder="1" applyAlignment="1">
      <alignment horizontal="right" vertical="top" wrapText="1"/>
    </xf>
    <xf numFmtId="0" fontId="37" fillId="0" borderId="16" xfId="0" applyFont="1" applyBorder="1" applyAlignment="1">
      <alignment horizontal="right" vertical="top" wrapText="1"/>
    </xf>
    <xf numFmtId="3" fontId="37" fillId="0" borderId="16" xfId="0" applyNumberFormat="1" applyFont="1" applyBorder="1" applyAlignment="1">
      <alignment horizontal="right" vertical="top" wrapText="1"/>
    </xf>
    <xf numFmtId="10" fontId="17" fillId="0" borderId="16" xfId="0" applyNumberFormat="1" applyFont="1" applyBorder="1" applyAlignment="1">
      <alignment horizontal="right" vertical="top" wrapText="1"/>
    </xf>
    <xf numFmtId="0" fontId="32" fillId="34" borderId="13" xfId="0" applyFont="1" applyFill="1" applyBorder="1" applyAlignment="1">
      <alignment vertical="top" wrapText="1"/>
    </xf>
    <xf numFmtId="0" fontId="2" fillId="34" borderId="13" xfId="0" applyFont="1" applyFill="1" applyBorder="1" applyAlignment="1">
      <alignment vertical="top" wrapText="1"/>
    </xf>
    <xf numFmtId="0" fontId="0" fillId="34" borderId="13" xfId="0" applyFont="1" applyFill="1" applyBorder="1" applyAlignment="1">
      <alignment vertical="top" wrapText="1"/>
    </xf>
    <xf numFmtId="0" fontId="0" fillId="34" borderId="13" xfId="0" applyFont="1" applyFill="1" applyBorder="1" applyAlignment="1">
      <alignment vertical="top"/>
    </xf>
    <xf numFmtId="0" fontId="6" fillId="0" borderId="13" xfId="0" applyFont="1" applyBorder="1" applyAlignment="1">
      <alignment vertical="top" wrapText="1"/>
    </xf>
    <xf numFmtId="0" fontId="40" fillId="0" borderId="13" xfId="0" applyFont="1" applyBorder="1" applyAlignment="1">
      <alignment horizontal="right" wrapText="1"/>
    </xf>
    <xf numFmtId="0" fontId="39" fillId="0" borderId="13" xfId="0" applyFont="1" applyBorder="1" applyAlignment="1">
      <alignment horizontal="right" wrapText="1"/>
    </xf>
    <xf numFmtId="3" fontId="39" fillId="0" borderId="13" xfId="0" applyNumberFormat="1" applyFont="1" applyBorder="1" applyAlignment="1">
      <alignment horizontal="right"/>
    </xf>
    <xf numFmtId="0" fontId="21" fillId="0" borderId="13" xfId="0" applyFont="1" applyBorder="1" applyAlignment="1">
      <alignment vertical="top" wrapText="1"/>
    </xf>
    <xf numFmtId="0" fontId="6" fillId="39" borderId="13" xfId="0" applyFont="1" applyFill="1" applyBorder="1" applyAlignment="1">
      <alignment horizontal="right" wrapText="1"/>
    </xf>
    <xf numFmtId="0" fontId="41" fillId="34" borderId="13" xfId="0" applyFont="1" applyFill="1" applyBorder="1" applyAlignment="1">
      <alignment horizontal="right" wrapText="1"/>
    </xf>
    <xf numFmtId="0" fontId="41" fillId="39" borderId="13" xfId="0" applyFont="1" applyFill="1" applyBorder="1" applyAlignment="1">
      <alignment horizontal="right" wrapText="1"/>
    </xf>
    <xf numFmtId="3" fontId="41" fillId="34" borderId="13" xfId="0" applyNumberFormat="1" applyFont="1" applyFill="1" applyBorder="1" applyAlignment="1">
      <alignment horizontal="right" wrapText="1"/>
    </xf>
    <xf numFmtId="3" fontId="41" fillId="34" borderId="13" xfId="0" applyNumberFormat="1" applyFont="1" applyFill="1" applyBorder="1" applyAlignment="1">
      <alignment horizontal="right"/>
    </xf>
    <xf numFmtId="0" fontId="32" fillId="35" borderId="13" xfId="0" applyFont="1" applyFill="1" applyBorder="1" applyAlignment="1">
      <alignment vertical="top" wrapText="1"/>
    </xf>
    <xf numFmtId="0" fontId="32" fillId="35" borderId="13" xfId="0" applyFont="1" applyFill="1" applyBorder="1" applyAlignment="1">
      <alignment horizontal="center" vertical="top" wrapText="1"/>
    </xf>
    <xf numFmtId="0" fontId="2" fillId="35" borderId="13" xfId="0" applyFont="1" applyFill="1" applyBorder="1" applyAlignment="1">
      <alignment vertical="top" wrapText="1"/>
    </xf>
    <xf numFmtId="0" fontId="0" fillId="35" borderId="13" xfId="0" applyFont="1" applyFill="1" applyBorder="1" applyAlignment="1">
      <alignment vertical="top" wrapText="1"/>
    </xf>
    <xf numFmtId="0" fontId="42" fillId="0" borderId="13" xfId="0" applyFont="1" applyBorder="1" applyAlignment="1">
      <alignment horizontal="right" wrapText="1"/>
    </xf>
    <xf numFmtId="3" fontId="41" fillId="35" borderId="13" xfId="0" applyNumberFormat="1" applyFont="1" applyFill="1" applyBorder="1" applyAlignment="1">
      <alignment horizontal="right" wrapText="1"/>
    </xf>
    <xf numFmtId="0" fontId="41" fillId="35" borderId="13" xfId="0" applyFont="1" applyFill="1" applyBorder="1" applyAlignment="1">
      <alignment horizontal="right" wrapText="1"/>
    </xf>
    <xf numFmtId="0" fontId="0" fillId="33" borderId="23" xfId="0" applyFont="1" applyFill="1" applyBorder="1" applyAlignment="1">
      <alignment vertical="top" wrapText="1"/>
    </xf>
    <xf numFmtId="0" fontId="0" fillId="33" borderId="25" xfId="0" applyFont="1" applyFill="1" applyBorder="1" applyAlignment="1">
      <alignment vertical="top" wrapText="1"/>
    </xf>
    <xf numFmtId="3" fontId="0" fillId="33" borderId="25" xfId="0" applyNumberFormat="1" applyFont="1" applyFill="1" applyBorder="1" applyAlignment="1">
      <alignment vertical="top" wrapText="1"/>
    </xf>
    <xf numFmtId="3" fontId="0" fillId="33" borderId="11" xfId="0" applyNumberFormat="1" applyFont="1" applyFill="1" applyBorder="1" applyAlignment="1">
      <alignment vertical="top" wrapText="1"/>
    </xf>
    <xf numFmtId="0" fontId="0" fillId="35" borderId="11" xfId="0" applyFont="1" applyFill="1" applyBorder="1" applyAlignment="1">
      <alignment vertical="top" wrapText="1"/>
    </xf>
    <xf numFmtId="0" fontId="0" fillId="35" borderId="23" xfId="0" applyFont="1" applyFill="1" applyBorder="1" applyAlignment="1">
      <alignment vertical="top" wrapText="1"/>
    </xf>
    <xf numFmtId="0" fontId="0" fillId="35" borderId="25" xfId="0" applyFont="1" applyFill="1" applyBorder="1" applyAlignment="1">
      <alignment vertical="top" wrapText="1"/>
    </xf>
    <xf numFmtId="3" fontId="0" fillId="35" borderId="25" xfId="0" applyNumberFormat="1" applyFont="1" applyFill="1" applyBorder="1" applyAlignment="1">
      <alignment vertical="top" wrapText="1"/>
    </xf>
    <xf numFmtId="3" fontId="0" fillId="35" borderId="11" xfId="0" applyNumberFormat="1" applyFont="1" applyFill="1" applyBorder="1" applyAlignment="1">
      <alignment vertical="top" wrapText="1"/>
    </xf>
    <xf numFmtId="0" fontId="0" fillId="40" borderId="14" xfId="0" applyFont="1" applyFill="1" applyBorder="1" applyAlignment="1">
      <alignment vertical="top" wrapText="1"/>
    </xf>
    <xf numFmtId="0" fontId="0" fillId="40" borderId="29" xfId="0" applyFont="1" applyFill="1" applyBorder="1" applyAlignment="1">
      <alignment vertical="top" wrapText="1"/>
    </xf>
    <xf numFmtId="0" fontId="0" fillId="40" borderId="18" xfId="0" applyFont="1" applyFill="1" applyBorder="1" applyAlignment="1">
      <alignment vertical="top" wrapText="1"/>
    </xf>
    <xf numFmtId="0" fontId="6" fillId="0" borderId="13" xfId="0" applyFont="1" applyBorder="1" applyAlignment="1">
      <alignment wrapText="1"/>
    </xf>
    <xf numFmtId="3" fontId="0" fillId="40" borderId="13" xfId="0" applyNumberFormat="1" applyFont="1" applyFill="1" applyBorder="1" applyAlignment="1">
      <alignment vertical="top" wrapText="1"/>
    </xf>
    <xf numFmtId="0" fontId="6" fillId="33" borderId="13" xfId="0" applyFont="1" applyFill="1" applyBorder="1" applyAlignment="1">
      <alignment vertical="top" wrapText="1"/>
    </xf>
    <xf numFmtId="0" fontId="9" fillId="41" borderId="13" xfId="0" applyFont="1" applyFill="1" applyBorder="1" applyAlignment="1">
      <alignment vertical="top" wrapText="1"/>
    </xf>
    <xf numFmtId="0" fontId="0" fillId="41" borderId="13" xfId="0" applyFont="1" applyFill="1" applyBorder="1" applyAlignment="1">
      <alignment vertical="top" wrapText="1"/>
    </xf>
    <xf numFmtId="0" fontId="6" fillId="40" borderId="13" xfId="0" applyFont="1" applyFill="1" applyBorder="1" applyAlignment="1">
      <alignment wrapText="1"/>
    </xf>
    <xf numFmtId="0" fontId="9" fillId="0" borderId="13" xfId="0" applyFont="1" applyFill="1" applyBorder="1" applyAlignment="1">
      <alignment vertical="top" wrapText="1"/>
    </xf>
    <xf numFmtId="0" fontId="0" fillId="0" borderId="13" xfId="0" applyBorder="1" applyAlignment="1">
      <alignment vertical="top"/>
    </xf>
    <xf numFmtId="179" fontId="0" fillId="0" borderId="13" xfId="0" applyNumberFormat="1" applyBorder="1" applyAlignment="1">
      <alignment vertical="top"/>
    </xf>
    <xf numFmtId="0" fontId="6" fillId="40" borderId="30" xfId="0" applyFont="1" applyFill="1" applyBorder="1" applyAlignment="1">
      <alignment wrapText="1"/>
    </xf>
    <xf numFmtId="0" fontId="0" fillId="0" borderId="30" xfId="0" applyBorder="1" applyAlignment="1">
      <alignment vertical="top"/>
    </xf>
    <xf numFmtId="0" fontId="9" fillId="41" borderId="30" xfId="0" applyFont="1" applyFill="1" applyBorder="1" applyAlignment="1">
      <alignment vertical="top" wrapText="1"/>
    </xf>
    <xf numFmtId="0" fontId="47" fillId="40" borderId="13" xfId="0" applyFont="1" applyFill="1" applyBorder="1" applyAlignment="1">
      <alignment wrapText="1"/>
    </xf>
    <xf numFmtId="179" fontId="0" fillId="0" borderId="13" xfId="0" applyNumberFormat="1" applyFont="1" applyFill="1" applyBorder="1" applyAlignment="1">
      <alignment vertical="top" wrapText="1"/>
    </xf>
    <xf numFmtId="0" fontId="20" fillId="42" borderId="13" xfId="0" applyFont="1" applyFill="1" applyBorder="1" applyAlignment="1">
      <alignment horizontal="center" vertical="top" wrapText="1"/>
    </xf>
    <xf numFmtId="0" fontId="20" fillId="42" borderId="13" xfId="0" applyFont="1" applyFill="1" applyBorder="1" applyAlignment="1">
      <alignment horizontal="center" vertical="top"/>
    </xf>
    <xf numFmtId="0" fontId="21" fillId="34" borderId="13" xfId="0" applyFont="1" applyFill="1" applyBorder="1" applyAlignment="1">
      <alignment vertical="top" wrapText="1"/>
    </xf>
    <xf numFmtId="0" fontId="21" fillId="34" borderId="13" xfId="0" applyFont="1" applyFill="1" applyBorder="1" applyAlignment="1">
      <alignment horizontal="center" vertical="top" wrapText="1"/>
    </xf>
    <xf numFmtId="0" fontId="30" fillId="34" borderId="13" xfId="0" applyFont="1" applyFill="1" applyBorder="1" applyAlignment="1">
      <alignment horizontal="center" vertical="top" wrapText="1"/>
    </xf>
    <xf numFmtId="0" fontId="23" fillId="0" borderId="13" xfId="0" applyFont="1" applyBorder="1" applyAlignment="1">
      <alignment vertical="top" wrapText="1"/>
    </xf>
    <xf numFmtId="0" fontId="24" fillId="0" borderId="13" xfId="0" applyFont="1" applyBorder="1" applyAlignment="1">
      <alignment vertical="top" wrapText="1"/>
    </xf>
    <xf numFmtId="0" fontId="40" fillId="0" borderId="16" xfId="0" applyFont="1" applyBorder="1" applyAlignment="1">
      <alignment horizontal="right" wrapText="1"/>
    </xf>
    <xf numFmtId="3" fontId="0" fillId="0" borderId="16" xfId="0" applyNumberFormat="1" applyFont="1" applyFill="1" applyBorder="1" applyAlignment="1">
      <alignment horizontal="right" vertical="top" wrapText="1"/>
    </xf>
    <xf numFmtId="3" fontId="0" fillId="0" borderId="10" xfId="0" applyNumberFormat="1" applyFont="1" applyBorder="1" applyAlignment="1">
      <alignment horizontal="right"/>
    </xf>
    <xf numFmtId="3" fontId="0" fillId="0" borderId="11" xfId="0" applyNumberFormat="1" applyFont="1" applyBorder="1" applyAlignment="1">
      <alignment horizontal="right" vertical="top" wrapText="1"/>
    </xf>
    <xf numFmtId="3" fontId="9" fillId="0" borderId="10" xfId="0" applyNumberFormat="1" applyFont="1" applyBorder="1" applyAlignment="1">
      <alignment horizontal="right" wrapText="1"/>
    </xf>
    <xf numFmtId="3" fontId="9" fillId="0" borderId="21" xfId="0" applyNumberFormat="1" applyFont="1" applyBorder="1" applyAlignment="1">
      <alignment horizontal="right" wrapText="1"/>
    </xf>
    <xf numFmtId="3" fontId="9" fillId="0" borderId="16" xfId="0" applyNumberFormat="1" applyFont="1" applyBorder="1" applyAlignment="1">
      <alignment horizontal="right" wrapText="1"/>
    </xf>
    <xf numFmtId="0" fontId="21" fillId="0" borderId="10" xfId="0" applyFont="1" applyBorder="1" applyAlignment="1">
      <alignment horizontal="center"/>
    </xf>
    <xf numFmtId="0" fontId="21" fillId="0" borderId="16" xfId="0" applyFont="1" applyBorder="1" applyAlignment="1">
      <alignment horizontal="center"/>
    </xf>
    <xf numFmtId="0" fontId="21" fillId="0" borderId="16" xfId="0" applyFont="1" applyBorder="1" applyAlignment="1">
      <alignment horizontal="center" vertical="top" wrapText="1"/>
    </xf>
    <xf numFmtId="0" fontId="20" fillId="0" borderId="10" xfId="0" applyFont="1" applyBorder="1" applyAlignment="1">
      <alignment horizontal="center"/>
    </xf>
    <xf numFmtId="0" fontId="26" fillId="0" borderId="16" xfId="0" applyFont="1" applyBorder="1" applyAlignment="1">
      <alignment horizontal="center"/>
    </xf>
    <xf numFmtId="0" fontId="26" fillId="0" borderId="16" xfId="0" applyFont="1" applyBorder="1" applyAlignment="1">
      <alignment horizontal="center" vertical="top" wrapText="1"/>
    </xf>
    <xf numFmtId="10" fontId="9" fillId="0" borderId="0" xfId="0" applyNumberFormat="1" applyFont="1" applyAlignment="1">
      <alignment/>
    </xf>
    <xf numFmtId="0" fontId="22" fillId="0" borderId="10" xfId="0" applyFont="1" applyBorder="1" applyAlignment="1">
      <alignment horizontal="center"/>
    </xf>
    <xf numFmtId="1" fontId="28" fillId="0" borderId="16" xfId="0" applyNumberFormat="1" applyFont="1" applyBorder="1" applyAlignment="1">
      <alignment horizontal="center"/>
    </xf>
    <xf numFmtId="176" fontId="20" fillId="0" borderId="16" xfId="0" applyNumberFormat="1" applyFont="1" applyBorder="1" applyAlignment="1">
      <alignment horizontal="center" vertical="top" wrapText="1"/>
    </xf>
    <xf numFmtId="0" fontId="0" fillId="0" borderId="14" xfId="0" applyFont="1" applyBorder="1" applyAlignment="1">
      <alignment vertical="top" wrapText="1"/>
    </xf>
    <xf numFmtId="0" fontId="22" fillId="33" borderId="16" xfId="0" applyFont="1" applyFill="1" applyBorder="1" applyAlignment="1">
      <alignment vertical="top" wrapText="1"/>
    </xf>
    <xf numFmtId="0" fontId="0" fillId="0" borderId="11" xfId="0" applyFont="1" applyBorder="1" applyAlignment="1">
      <alignment wrapText="1"/>
    </xf>
    <xf numFmtId="176" fontId="0" fillId="34" borderId="11" xfId="0" applyNumberFormat="1" applyFont="1" applyFill="1" applyBorder="1" applyAlignment="1">
      <alignment vertical="top" wrapText="1"/>
    </xf>
    <xf numFmtId="176" fontId="0" fillId="34" borderId="12" xfId="0" applyNumberFormat="1" applyFont="1" applyFill="1" applyBorder="1" applyAlignment="1">
      <alignment vertical="top" wrapText="1"/>
    </xf>
    <xf numFmtId="0" fontId="9" fillId="0" borderId="16" xfId="0" applyFont="1" applyFill="1" applyBorder="1" applyAlignment="1">
      <alignment vertical="center" wrapText="1"/>
    </xf>
    <xf numFmtId="0" fontId="9" fillId="0" borderId="16" xfId="0" applyFont="1" applyBorder="1" applyAlignment="1">
      <alignment vertical="center" wrapText="1"/>
    </xf>
    <xf numFmtId="3" fontId="0" fillId="0" borderId="16" xfId="0" applyNumberFormat="1" applyFont="1" applyBorder="1" applyAlignment="1">
      <alignment vertical="center" wrapText="1"/>
    </xf>
    <xf numFmtId="9" fontId="9" fillId="0" borderId="16" xfId="0" applyNumberFormat="1" applyFont="1" applyBorder="1" applyAlignment="1">
      <alignment vertical="center" wrapText="1"/>
    </xf>
    <xf numFmtId="3" fontId="16" fillId="0" borderId="10" xfId="0" applyNumberFormat="1" applyFont="1" applyBorder="1" applyAlignment="1">
      <alignment vertical="center" wrapText="1"/>
    </xf>
    <xf numFmtId="0" fontId="9" fillId="0" borderId="14" xfId="0" applyFont="1" applyBorder="1" applyAlignment="1">
      <alignment vertical="center" wrapText="1"/>
    </xf>
    <xf numFmtId="3" fontId="0" fillId="0" borderId="14" xfId="0" applyNumberFormat="1" applyFont="1" applyBorder="1" applyAlignment="1">
      <alignment vertical="center" wrapText="1"/>
    </xf>
    <xf numFmtId="9" fontId="9" fillId="0" borderId="14" xfId="0" applyNumberFormat="1" applyFont="1" applyBorder="1" applyAlignment="1">
      <alignment vertical="center" wrapText="1"/>
    </xf>
    <xf numFmtId="0" fontId="0" fillId="37" borderId="16" xfId="0" applyFont="1" applyFill="1" applyBorder="1" applyAlignment="1">
      <alignment vertical="center" wrapText="1"/>
    </xf>
    <xf numFmtId="3" fontId="9" fillId="0" borderId="16" xfId="0" applyNumberFormat="1" applyFont="1" applyBorder="1" applyAlignment="1">
      <alignment vertical="center" wrapText="1"/>
    </xf>
    <xf numFmtId="0" fontId="9" fillId="37" borderId="16" xfId="0" applyFont="1" applyFill="1" applyBorder="1" applyAlignment="1">
      <alignment vertical="center" wrapText="1"/>
    </xf>
    <xf numFmtId="0" fontId="12" fillId="37" borderId="16" xfId="0" applyFont="1" applyFill="1" applyBorder="1" applyAlignment="1">
      <alignment vertical="center" wrapText="1"/>
    </xf>
    <xf numFmtId="0" fontId="9" fillId="0" borderId="14" xfId="0" applyFont="1" applyFill="1" applyBorder="1" applyAlignment="1">
      <alignment vertical="center" wrapText="1"/>
    </xf>
    <xf numFmtId="0" fontId="9" fillId="0" borderId="21" xfId="0" applyFont="1" applyBorder="1" applyAlignment="1">
      <alignment vertical="center" wrapText="1"/>
    </xf>
    <xf numFmtId="0" fontId="9" fillId="0" borderId="21" xfId="0" applyFont="1" applyFill="1" applyBorder="1" applyAlignment="1">
      <alignment vertical="center" wrapText="1"/>
    </xf>
    <xf numFmtId="3" fontId="0" fillId="0" borderId="28" xfId="0" applyNumberFormat="1" applyFont="1" applyBorder="1" applyAlignment="1">
      <alignment vertical="center" wrapText="1"/>
    </xf>
    <xf numFmtId="9" fontId="9" fillId="0" borderId="28" xfId="0" applyNumberFormat="1" applyFont="1" applyBorder="1" applyAlignment="1">
      <alignment vertical="center" wrapText="1"/>
    </xf>
    <xf numFmtId="0" fontId="9" fillId="0" borderId="11" xfId="0" applyFont="1" applyBorder="1" applyAlignment="1">
      <alignment vertical="center" wrapText="1"/>
    </xf>
    <xf numFmtId="0" fontId="51" fillId="0" borderId="11" xfId="0" applyFont="1" applyBorder="1" applyAlignment="1">
      <alignment vertical="center" wrapText="1"/>
    </xf>
    <xf numFmtId="0" fontId="16" fillId="0" borderId="11" xfId="0" applyFont="1" applyBorder="1" applyAlignment="1">
      <alignment vertical="center" wrapText="1"/>
    </xf>
    <xf numFmtId="9" fontId="9" fillId="0" borderId="11" xfId="0" applyNumberFormat="1" applyFont="1" applyBorder="1" applyAlignment="1">
      <alignment vertical="center" wrapText="1"/>
    </xf>
    <xf numFmtId="2" fontId="0" fillId="0" borderId="11" xfId="0" applyNumberFormat="1" applyFont="1" applyBorder="1" applyAlignment="1">
      <alignment vertical="center" wrapText="1"/>
    </xf>
    <xf numFmtId="0" fontId="6" fillId="0" borderId="11" xfId="0" applyFont="1" applyFill="1" applyBorder="1" applyAlignment="1">
      <alignment wrapText="1"/>
    </xf>
    <xf numFmtId="0" fontId="0" fillId="37" borderId="11" xfId="0" applyFill="1" applyBorder="1" applyAlignment="1">
      <alignment/>
    </xf>
    <xf numFmtId="176" fontId="0" fillId="37" borderId="11" xfId="0" applyNumberFormat="1" applyFill="1" applyBorder="1" applyAlignment="1">
      <alignment/>
    </xf>
    <xf numFmtId="3" fontId="0" fillId="37" borderId="11" xfId="0" applyNumberFormat="1" applyFill="1" applyBorder="1" applyAlignment="1">
      <alignment/>
    </xf>
    <xf numFmtId="0" fontId="22" fillId="0" borderId="20" xfId="0" applyFont="1" applyBorder="1" applyAlignment="1">
      <alignment vertical="top" wrapText="1"/>
    </xf>
    <xf numFmtId="0" fontId="22" fillId="0" borderId="16" xfId="0" applyFont="1" applyBorder="1" applyAlignment="1">
      <alignment vertical="top" wrapText="1"/>
    </xf>
    <xf numFmtId="0" fontId="22" fillId="33" borderId="31" xfId="0" applyFont="1" applyFill="1" applyBorder="1" applyAlignment="1">
      <alignment vertical="top" wrapText="1"/>
    </xf>
    <xf numFmtId="0" fontId="22" fillId="0" borderId="32" xfId="0" applyFont="1" applyBorder="1" applyAlignment="1">
      <alignment vertical="top" wrapText="1"/>
    </xf>
    <xf numFmtId="0" fontId="22" fillId="33" borderId="14" xfId="0" applyFont="1" applyFill="1" applyBorder="1" applyAlignment="1">
      <alignment vertical="top" wrapText="1"/>
    </xf>
    <xf numFmtId="0" fontId="22" fillId="33" borderId="10" xfId="0" applyFont="1" applyFill="1" applyBorder="1" applyAlignment="1">
      <alignment vertical="top" wrapText="1"/>
    </xf>
    <xf numFmtId="0" fontId="22" fillId="33" borderId="11" xfId="0" applyFont="1" applyFill="1" applyBorder="1" applyAlignment="1">
      <alignment vertical="top" wrapText="1"/>
    </xf>
    <xf numFmtId="0" fontId="22" fillId="33" borderId="21" xfId="0" applyFont="1" applyFill="1" applyBorder="1" applyAlignment="1">
      <alignment vertical="top" wrapText="1"/>
    </xf>
    <xf numFmtId="0" fontId="22" fillId="0" borderId="31" xfId="0" applyFont="1" applyBorder="1" applyAlignment="1">
      <alignment vertical="top" wrapText="1"/>
    </xf>
    <xf numFmtId="0" fontId="25"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25"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28" xfId="0" applyFont="1" applyBorder="1" applyAlignment="1">
      <alignment horizontal="center" vertical="center" wrapText="1"/>
    </xf>
    <xf numFmtId="0" fontId="25" fillId="33" borderId="29"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5" fillId="33" borderId="33"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5"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3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33" borderId="16"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22" fillId="33" borderId="10" xfId="0" applyFont="1" applyFill="1" applyBorder="1" applyAlignment="1">
      <alignment horizontal="center" vertical="center" wrapText="1"/>
    </xf>
    <xf numFmtId="176" fontId="3" fillId="34" borderId="13" xfId="0" applyNumberFormat="1" applyFont="1" applyFill="1" applyBorder="1" applyAlignment="1">
      <alignment vertical="top" wrapText="1"/>
    </xf>
    <xf numFmtId="0" fontId="3" fillId="34" borderId="13" xfId="0" applyFont="1" applyFill="1" applyBorder="1" applyAlignment="1">
      <alignment vertical="top" wrapText="1"/>
    </xf>
    <xf numFmtId="3" fontId="3" fillId="34" borderId="13" xfId="0" applyNumberFormat="1" applyFont="1" applyFill="1" applyBorder="1" applyAlignment="1">
      <alignment vertical="top" wrapText="1"/>
    </xf>
    <xf numFmtId="0" fontId="7" fillId="34" borderId="13" xfId="0" applyFont="1" applyFill="1" applyBorder="1" applyAlignment="1">
      <alignment vertical="top" wrapText="1"/>
    </xf>
    <xf numFmtId="3" fontId="7" fillId="34" borderId="13" xfId="0" applyNumberFormat="1" applyFont="1" applyFill="1" applyBorder="1" applyAlignment="1">
      <alignment vertical="top" wrapText="1"/>
    </xf>
    <xf numFmtId="0" fontId="11" fillId="35" borderId="13" xfId="0" applyFont="1" applyFill="1" applyBorder="1" applyAlignment="1">
      <alignment horizontal="center" vertical="top" wrapText="1"/>
    </xf>
    <xf numFmtId="0" fontId="7" fillId="34" borderId="13" xfId="0" applyFont="1" applyFill="1" applyBorder="1" applyAlignment="1">
      <alignment horizontal="center" vertical="top" wrapText="1"/>
    </xf>
    <xf numFmtId="0" fontId="6" fillId="40" borderId="13" xfId="0" applyFont="1" applyFill="1" applyBorder="1" applyAlignment="1">
      <alignment horizontal="center" wrapText="1"/>
    </xf>
    <xf numFmtId="0" fontId="6" fillId="40" borderId="30" xfId="0" applyFont="1" applyFill="1" applyBorder="1" applyAlignment="1">
      <alignment horizontal="center" wrapText="1"/>
    </xf>
    <xf numFmtId="179" fontId="18" fillId="40" borderId="13" xfId="0" applyNumberFormat="1" applyFont="1" applyFill="1" applyBorder="1" applyAlignment="1">
      <alignment horizontal="center" wrapText="1"/>
    </xf>
    <xf numFmtId="0" fontId="21" fillId="36" borderId="10" xfId="0" applyFont="1" applyFill="1" applyBorder="1" applyAlignment="1">
      <alignment vertical="top" wrapText="1"/>
    </xf>
    <xf numFmtId="0" fontId="52" fillId="0" borderId="16" xfId="0" applyFont="1" applyBorder="1" applyAlignment="1">
      <alignment vertical="center" wrapText="1"/>
    </xf>
    <xf numFmtId="0" fontId="52" fillId="0" borderId="14" xfId="0" applyFont="1" applyBorder="1" applyAlignment="1">
      <alignment vertical="center" wrapText="1"/>
    </xf>
    <xf numFmtId="0" fontId="52" fillId="0" borderId="21" xfId="0" applyFont="1" applyBorder="1" applyAlignment="1">
      <alignment vertical="center" wrapText="1"/>
    </xf>
    <xf numFmtId="0" fontId="52" fillId="0" borderId="11" xfId="0" applyFont="1" applyBorder="1" applyAlignment="1">
      <alignment vertical="center" wrapText="1"/>
    </xf>
    <xf numFmtId="176" fontId="0" fillId="0" borderId="16" xfId="0" applyNumberFormat="1" applyFont="1" applyBorder="1" applyAlignment="1">
      <alignment vertical="center" wrapText="1"/>
    </xf>
    <xf numFmtId="176" fontId="0" fillId="0" borderId="14" xfId="0" applyNumberFormat="1" applyFont="1" applyBorder="1" applyAlignment="1">
      <alignment vertical="center" wrapText="1"/>
    </xf>
    <xf numFmtId="176" fontId="0" fillId="37" borderId="16" xfId="0" applyNumberFormat="1" applyFont="1" applyFill="1" applyBorder="1" applyAlignment="1">
      <alignment vertical="center" wrapText="1"/>
    </xf>
    <xf numFmtId="176" fontId="0" fillId="0" borderId="21" xfId="0" applyNumberFormat="1" applyFont="1" applyBorder="1" applyAlignment="1">
      <alignment vertical="center" wrapText="1"/>
    </xf>
    <xf numFmtId="0" fontId="0" fillId="0" borderId="14" xfId="0" applyFont="1" applyBorder="1" applyAlignment="1">
      <alignment vertical="center" wrapText="1"/>
    </xf>
    <xf numFmtId="181" fontId="0" fillId="0" borderId="14" xfId="0" applyNumberFormat="1" applyFont="1" applyBorder="1" applyAlignment="1">
      <alignment vertical="center" wrapText="1"/>
    </xf>
    <xf numFmtId="0" fontId="0" fillId="37" borderId="16" xfId="0" applyFont="1" applyFill="1" applyBorder="1" applyAlignment="1">
      <alignment vertical="center" wrapText="1"/>
    </xf>
    <xf numFmtId="0" fontId="0" fillId="0" borderId="16" xfId="0" applyFont="1" applyFill="1" applyBorder="1" applyAlignment="1">
      <alignment vertical="center" wrapText="1"/>
    </xf>
    <xf numFmtId="0" fontId="0" fillId="0" borderId="21" xfId="0" applyFont="1" applyFill="1" applyBorder="1" applyAlignment="1">
      <alignment vertical="center" wrapText="1"/>
    </xf>
    <xf numFmtId="176" fontId="0" fillId="0" borderId="11" xfId="0" applyNumberFormat="1" applyFont="1" applyFill="1" applyBorder="1" applyAlignment="1">
      <alignment vertical="center" wrapText="1"/>
    </xf>
    <xf numFmtId="176" fontId="0" fillId="0" borderId="14" xfId="0" applyNumberFormat="1" applyFont="1" applyFill="1" applyBorder="1" applyAlignment="1">
      <alignment vertical="center" wrapText="1"/>
    </xf>
    <xf numFmtId="3" fontId="53" fillId="0" borderId="16" xfId="0" applyNumberFormat="1" applyFont="1" applyBorder="1" applyAlignment="1">
      <alignment vertical="center" wrapText="1"/>
    </xf>
    <xf numFmtId="3" fontId="53" fillId="0" borderId="14" xfId="0" applyNumberFormat="1" applyFont="1" applyBorder="1" applyAlignment="1">
      <alignment vertical="center" wrapText="1"/>
    </xf>
    <xf numFmtId="3" fontId="53" fillId="0" borderId="16" xfId="0" applyNumberFormat="1" applyFont="1" applyFill="1" applyBorder="1" applyAlignment="1">
      <alignment vertical="center" wrapText="1"/>
    </xf>
    <xf numFmtId="3" fontId="53" fillId="0" borderId="11" xfId="0" applyNumberFormat="1" applyFont="1" applyBorder="1" applyAlignment="1">
      <alignment vertical="center" wrapText="1"/>
    </xf>
    <xf numFmtId="3" fontId="0" fillId="0" borderId="16" xfId="0" applyNumberFormat="1" applyFont="1" applyBorder="1" applyAlignment="1">
      <alignment vertical="center" wrapText="1"/>
    </xf>
    <xf numFmtId="3" fontId="6" fillId="0" borderId="14" xfId="0" applyNumberFormat="1" applyFont="1" applyBorder="1" applyAlignment="1">
      <alignment vertical="center" wrapText="1"/>
    </xf>
    <xf numFmtId="3" fontId="0" fillId="0" borderId="12" xfId="0" applyNumberFormat="1" applyFont="1" applyBorder="1" applyAlignment="1">
      <alignment vertical="center" wrapText="1"/>
    </xf>
    <xf numFmtId="3" fontId="0" fillId="0" borderId="14" xfId="0" applyNumberFormat="1" applyFont="1" applyBorder="1" applyAlignment="1">
      <alignment vertical="center" wrapText="1"/>
    </xf>
    <xf numFmtId="3" fontId="6" fillId="0" borderId="11" xfId="0" applyNumberFormat="1" applyFont="1" applyBorder="1" applyAlignment="1">
      <alignment/>
    </xf>
    <xf numFmtId="0" fontId="17" fillId="0" borderId="0" xfId="0" applyFont="1" applyAlignment="1">
      <alignment/>
    </xf>
    <xf numFmtId="0" fontId="20" fillId="0" borderId="0" xfId="0" applyFont="1" applyAlignment="1">
      <alignment/>
    </xf>
    <xf numFmtId="0" fontId="55" fillId="0" borderId="0" xfId="0" applyFont="1" applyAlignment="1">
      <alignment/>
    </xf>
    <xf numFmtId="0" fontId="56" fillId="0" borderId="0" xfId="0" applyFont="1" applyAlignment="1">
      <alignment/>
    </xf>
    <xf numFmtId="0" fontId="50" fillId="0" borderId="0" xfId="0" applyFont="1" applyAlignment="1">
      <alignment/>
    </xf>
    <xf numFmtId="0" fontId="21" fillId="36" borderId="12" xfId="0" applyFont="1" applyFill="1" applyBorder="1" applyAlignment="1">
      <alignment vertical="top" wrapText="1"/>
    </xf>
    <xf numFmtId="0" fontId="0" fillId="0" borderId="34" xfId="0" applyFont="1" applyBorder="1" applyAlignment="1">
      <alignment vertical="top" wrapText="1"/>
    </xf>
    <xf numFmtId="0" fontId="9" fillId="0" borderId="34" xfId="0" applyFont="1" applyBorder="1" applyAlignment="1">
      <alignment/>
    </xf>
    <xf numFmtId="0" fontId="19" fillId="0" borderId="34" xfId="0" applyFont="1" applyBorder="1" applyAlignment="1">
      <alignment horizontal="center" vertical="top" wrapText="1"/>
    </xf>
    <xf numFmtId="0" fontId="19" fillId="0" borderId="34" xfId="0" applyFont="1" applyBorder="1" applyAlignment="1">
      <alignment vertical="top" wrapText="1"/>
    </xf>
    <xf numFmtId="0" fontId="0" fillId="0" borderId="35" xfId="0" applyFont="1" applyBorder="1" applyAlignment="1">
      <alignment vertical="top" wrapText="1"/>
    </xf>
    <xf numFmtId="0" fontId="9" fillId="0" borderId="35" xfId="0" applyFont="1" applyBorder="1" applyAlignment="1">
      <alignment/>
    </xf>
    <xf numFmtId="0" fontId="19" fillId="0" borderId="35" xfId="0" applyFont="1" applyBorder="1" applyAlignment="1">
      <alignment horizontal="center" vertical="top" wrapText="1"/>
    </xf>
    <xf numFmtId="0" fontId="19" fillId="0" borderId="35" xfId="0" applyFont="1" applyBorder="1" applyAlignment="1">
      <alignment vertical="top" wrapText="1"/>
    </xf>
    <xf numFmtId="0" fontId="0" fillId="0" borderId="13" xfId="0" applyFont="1" applyBorder="1" applyAlignment="1">
      <alignment wrapText="1"/>
    </xf>
    <xf numFmtId="0" fontId="0" fillId="0" borderId="13" xfId="0" applyFont="1" applyBorder="1" applyAlignment="1">
      <alignment horizontal="center" vertical="center" wrapText="1"/>
    </xf>
    <xf numFmtId="0" fontId="0" fillId="34" borderId="13" xfId="0" applyFont="1" applyFill="1" applyBorder="1" applyAlignment="1">
      <alignment vertical="top" wrapText="1"/>
    </xf>
    <xf numFmtId="0" fontId="6" fillId="33" borderId="10" xfId="0" applyFont="1" applyFill="1" applyBorder="1" applyAlignment="1">
      <alignment vertical="top" wrapText="1"/>
    </xf>
    <xf numFmtId="0" fontId="2" fillId="0" borderId="33" xfId="0" applyFont="1" applyBorder="1" applyAlignment="1">
      <alignment horizontal="center" vertical="top" wrapText="1"/>
    </xf>
    <xf numFmtId="0" fontId="2" fillId="0" borderId="0" xfId="0" applyFont="1" applyBorder="1" applyAlignment="1">
      <alignment horizontal="center" vertical="top" wrapText="1"/>
    </xf>
    <xf numFmtId="6" fontId="22" fillId="0" borderId="13" xfId="0" applyNumberFormat="1" applyFont="1" applyBorder="1" applyAlignment="1">
      <alignment horizontal="right" vertical="top" wrapText="1"/>
    </xf>
    <xf numFmtId="0" fontId="20" fillId="0" borderId="13" xfId="0" applyFont="1" applyBorder="1" applyAlignment="1">
      <alignment vertical="top" wrapText="1"/>
    </xf>
    <xf numFmtId="0" fontId="0" fillId="0" borderId="13" xfId="0" applyBorder="1" applyAlignment="1">
      <alignment vertical="top" wrapText="1"/>
    </xf>
    <xf numFmtId="0" fontId="0" fillId="0" borderId="14" xfId="0" applyFont="1" applyBorder="1" applyAlignment="1">
      <alignment vertical="top" wrapText="1"/>
    </xf>
    <xf numFmtId="0" fontId="0" fillId="0" borderId="10" xfId="0" applyBorder="1" applyAlignment="1">
      <alignment/>
    </xf>
    <xf numFmtId="3" fontId="0" fillId="0" borderId="12" xfId="0" applyNumberFormat="1" applyFont="1" applyBorder="1" applyAlignment="1">
      <alignment vertical="center" wrapText="1"/>
    </xf>
    <xf numFmtId="0" fontId="0" fillId="0" borderId="10" xfId="0" applyFont="1" applyBorder="1" applyAlignment="1">
      <alignment/>
    </xf>
    <xf numFmtId="9" fontId="9" fillId="0" borderId="14" xfId="0" applyNumberFormat="1" applyFont="1" applyBorder="1" applyAlignment="1">
      <alignment vertical="center" wrapText="1"/>
    </xf>
    <xf numFmtId="3" fontId="53" fillId="0" borderId="14" xfId="0" applyNumberFormat="1" applyFont="1" applyBorder="1" applyAlignment="1">
      <alignment vertical="center" wrapText="1"/>
    </xf>
    <xf numFmtId="0" fontId="53" fillId="0" borderId="10" xfId="0" applyFont="1" applyBorder="1" applyAlignment="1">
      <alignment/>
    </xf>
    <xf numFmtId="3" fontId="0" fillId="0" borderId="14" xfId="0" applyNumberFormat="1" applyFont="1" applyBorder="1" applyAlignment="1">
      <alignment vertical="center" wrapText="1"/>
    </xf>
    <xf numFmtId="2" fontId="0" fillId="0" borderId="14" xfId="0" applyNumberFormat="1" applyFont="1" applyFill="1" applyBorder="1" applyAlignment="1">
      <alignment vertical="center" wrapText="1"/>
    </xf>
    <xf numFmtId="0" fontId="0" fillId="0" borderId="10" xfId="0" applyFont="1" applyBorder="1" applyAlignment="1">
      <alignment/>
    </xf>
    <xf numFmtId="0" fontId="9" fillId="0" borderId="14" xfId="0" applyFont="1" applyBorder="1" applyAlignment="1">
      <alignment vertical="center" wrapText="1"/>
    </xf>
    <xf numFmtId="176" fontId="0" fillId="41" borderId="14" xfId="0" applyNumberFormat="1" applyFont="1" applyFill="1" applyBorder="1" applyAlignment="1">
      <alignment vertical="center" wrapText="1"/>
    </xf>
    <xf numFmtId="176" fontId="0" fillId="41" borderId="10" xfId="0" applyNumberFormat="1" applyFont="1" applyFill="1" applyBorder="1" applyAlignment="1">
      <alignment vertical="center" wrapText="1"/>
    </xf>
    <xf numFmtId="0" fontId="9" fillId="41" borderId="14" xfId="0" applyFont="1" applyFill="1" applyBorder="1" applyAlignment="1">
      <alignment vertical="center" wrapText="1"/>
    </xf>
    <xf numFmtId="0" fontId="9" fillId="41" borderId="10" xfId="0" applyFont="1" applyFill="1" applyBorder="1" applyAlignment="1">
      <alignment vertical="center" wrapText="1"/>
    </xf>
    <xf numFmtId="0" fontId="0" fillId="41" borderId="14" xfId="0" applyFont="1" applyFill="1" applyBorder="1" applyAlignment="1">
      <alignment vertical="center" wrapText="1"/>
    </xf>
    <xf numFmtId="0" fontId="0" fillId="41" borderId="10"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Border="1" applyAlignment="1">
      <alignment vertical="center" wrapText="1"/>
    </xf>
    <xf numFmtId="0" fontId="9" fillId="0" borderId="14" xfId="0" applyFont="1" applyFill="1" applyBorder="1" applyAlignment="1">
      <alignment vertical="center" wrapText="1"/>
    </xf>
    <xf numFmtId="176" fontId="0" fillId="0" borderId="14" xfId="0" applyNumberFormat="1" applyFont="1" applyBorder="1" applyAlignment="1">
      <alignment vertical="center" wrapText="1"/>
    </xf>
    <xf numFmtId="0" fontId="52" fillId="0" borderId="14" xfId="0" applyFont="1" applyBorder="1" applyAlignment="1">
      <alignment vertical="center" wrapText="1"/>
    </xf>
    <xf numFmtId="0" fontId="52" fillId="0" borderId="10" xfId="0" applyFont="1" applyBorder="1" applyAlignment="1">
      <alignment/>
    </xf>
    <xf numFmtId="0" fontId="6" fillId="33" borderId="14" xfId="0" applyFont="1" applyFill="1" applyBorder="1" applyAlignment="1">
      <alignment vertical="top" wrapText="1"/>
    </xf>
    <xf numFmtId="0" fontId="0" fillId="33" borderId="10" xfId="0" applyFont="1" applyFill="1" applyBorder="1" applyAlignment="1">
      <alignment vertical="top" wrapText="1"/>
    </xf>
    <xf numFmtId="0" fontId="52" fillId="41" borderId="14" xfId="0" applyFont="1" applyFill="1" applyBorder="1" applyAlignment="1">
      <alignment vertical="center" wrapText="1"/>
    </xf>
    <xf numFmtId="0" fontId="52" fillId="41" borderId="10" xfId="0" applyFont="1" applyFill="1" applyBorder="1" applyAlignment="1">
      <alignment vertical="center" wrapText="1"/>
    </xf>
    <xf numFmtId="3" fontId="0" fillId="41" borderId="14" xfId="0" applyNumberFormat="1" applyFont="1" applyFill="1" applyBorder="1" applyAlignment="1">
      <alignment vertical="center" wrapText="1"/>
    </xf>
    <xf numFmtId="3" fontId="0" fillId="41" borderId="10" xfId="0" applyNumberFormat="1" applyFont="1" applyFill="1" applyBorder="1" applyAlignment="1">
      <alignment vertical="center" wrapText="1"/>
    </xf>
    <xf numFmtId="3" fontId="53" fillId="41" borderId="14" xfId="0" applyNumberFormat="1" applyFont="1" applyFill="1" applyBorder="1" applyAlignment="1">
      <alignment vertical="center" wrapText="1"/>
    </xf>
    <xf numFmtId="3" fontId="53" fillId="41" borderId="10" xfId="0" applyNumberFormat="1" applyFont="1" applyFill="1" applyBorder="1" applyAlignment="1">
      <alignment vertical="center" wrapText="1"/>
    </xf>
    <xf numFmtId="0" fontId="9" fillId="41" borderId="18" xfId="0" applyFont="1" applyFill="1" applyBorder="1" applyAlignment="1">
      <alignment vertical="center" wrapText="1"/>
    </xf>
    <xf numFmtId="0" fontId="9" fillId="41" borderId="17" xfId="0" applyFont="1" applyFill="1" applyBorder="1" applyAlignment="1">
      <alignment vertical="center" wrapText="1"/>
    </xf>
    <xf numFmtId="0" fontId="20" fillId="33" borderId="14" xfId="0" applyFont="1" applyFill="1" applyBorder="1" applyAlignment="1">
      <alignment vertical="top" wrapText="1"/>
    </xf>
    <xf numFmtId="0" fontId="20" fillId="33" borderId="10" xfId="0" applyFont="1" applyFill="1" applyBorder="1" applyAlignment="1">
      <alignment vertical="top" wrapText="1"/>
    </xf>
    <xf numFmtId="0" fontId="2" fillId="33" borderId="14" xfId="0" applyFont="1" applyFill="1" applyBorder="1" applyAlignment="1">
      <alignment vertical="top" wrapText="1"/>
    </xf>
    <xf numFmtId="0" fontId="2" fillId="33" borderId="12" xfId="0" applyFont="1" applyFill="1" applyBorder="1" applyAlignment="1">
      <alignment vertical="top" wrapText="1"/>
    </xf>
    <xf numFmtId="0" fontId="2" fillId="33" borderId="10" xfId="0" applyFont="1" applyFill="1" applyBorder="1" applyAlignment="1">
      <alignment vertical="top" wrapText="1"/>
    </xf>
    <xf numFmtId="0" fontId="0" fillId="0" borderId="0" xfId="0" applyAlignment="1">
      <alignment wrapText="1"/>
    </xf>
    <xf numFmtId="0" fontId="32" fillId="34" borderId="13" xfId="0" applyFont="1" applyFill="1" applyBorder="1" applyAlignment="1">
      <alignment horizontal="center" vertical="top" wrapText="1"/>
    </xf>
    <xf numFmtId="0" fontId="39" fillId="34" borderId="13" xfId="0" applyFont="1" applyFill="1" applyBorder="1" applyAlignment="1">
      <alignment vertical="top" wrapText="1"/>
    </xf>
    <xf numFmtId="0" fontId="41" fillId="34" borderId="13" xfId="0" applyFont="1" applyFill="1" applyBorder="1" applyAlignment="1">
      <alignment vertical="top" wrapText="1"/>
    </xf>
    <xf numFmtId="0" fontId="38" fillId="34" borderId="13" xfId="0" applyFont="1" applyFill="1" applyBorder="1" applyAlignment="1">
      <alignment vertical="top" wrapText="1"/>
    </xf>
    <xf numFmtId="0" fontId="32" fillId="35" borderId="30" xfId="0" applyFont="1" applyFill="1" applyBorder="1" applyAlignment="1">
      <alignment horizontal="center" vertical="top" wrapText="1"/>
    </xf>
    <xf numFmtId="0" fontId="32" fillId="35" borderId="36" xfId="0" applyFont="1" applyFill="1" applyBorder="1" applyAlignment="1">
      <alignment horizontal="center" vertical="top" wrapText="1"/>
    </xf>
    <xf numFmtId="0" fontId="32" fillId="35" borderId="37" xfId="0" applyFont="1" applyFill="1"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38" fillId="35" borderId="13" xfId="0" applyFont="1" applyFill="1" applyBorder="1" applyAlignment="1">
      <alignment vertical="top" wrapText="1"/>
    </xf>
    <xf numFmtId="0" fontId="39" fillId="35" borderId="13" xfId="0" applyFont="1" applyFill="1" applyBorder="1" applyAlignment="1">
      <alignment vertical="top" wrapText="1"/>
    </xf>
    <xf numFmtId="0" fontId="43" fillId="0" borderId="0" xfId="0" applyFont="1" applyAlignment="1">
      <alignment horizontal="left" wrapText="1"/>
    </xf>
    <xf numFmtId="0" fontId="1" fillId="0" borderId="0" xfId="0" applyFont="1" applyAlignment="1">
      <alignment wrapText="1"/>
    </xf>
    <xf numFmtId="0" fontId="2" fillId="0" borderId="0" xfId="0" applyFont="1" applyBorder="1" applyAlignment="1">
      <alignment horizontal="center" vertical="top"/>
    </xf>
    <xf numFmtId="0" fontId="24" fillId="0" borderId="0" xfId="0" applyFont="1" applyAlignment="1">
      <alignment horizontal="justify" vertical="top"/>
    </xf>
    <xf numFmtId="0" fontId="0" fillId="0" borderId="0" xfId="0" applyAlignment="1">
      <alignment horizontal="justify" vertical="top"/>
    </xf>
    <xf numFmtId="3" fontId="30" fillId="0" borderId="0" xfId="0" applyNumberFormat="1" applyFont="1" applyAlignment="1">
      <alignment/>
    </xf>
    <xf numFmtId="0" fontId="0" fillId="0" borderId="0" xfId="0" applyAlignment="1">
      <alignment/>
    </xf>
    <xf numFmtId="0" fontId="17" fillId="33" borderId="25" xfId="0" applyFont="1" applyFill="1" applyBorder="1" applyAlignment="1">
      <alignment horizontal="center" wrapText="1"/>
    </xf>
    <xf numFmtId="0" fontId="17" fillId="33" borderId="23" xfId="0" applyFont="1" applyFill="1" applyBorder="1" applyAlignment="1">
      <alignment horizontal="center" wrapText="1"/>
    </xf>
    <xf numFmtId="0" fontId="17" fillId="33" borderId="21" xfId="0" applyFont="1" applyFill="1" applyBorder="1" applyAlignment="1">
      <alignment horizontal="center" wrapText="1"/>
    </xf>
    <xf numFmtId="0" fontId="33" fillId="33" borderId="0" xfId="0" applyFont="1" applyFill="1" applyAlignment="1">
      <alignment horizontal="center" vertical="top" wrapText="1"/>
    </xf>
    <xf numFmtId="0" fontId="34" fillId="33" borderId="33" xfId="0" applyFont="1" applyFill="1" applyBorder="1" applyAlignment="1">
      <alignment horizontal="center" vertical="top" wrapText="1"/>
    </xf>
    <xf numFmtId="0" fontId="21" fillId="38" borderId="38" xfId="0" applyFont="1" applyFill="1" applyBorder="1" applyAlignment="1">
      <alignment horizontal="center" vertical="top" wrapText="1"/>
    </xf>
    <xf numFmtId="0" fontId="21" fillId="38" borderId="39" xfId="0" applyFont="1" applyFill="1" applyBorder="1" applyAlignment="1">
      <alignment horizontal="center" vertical="top" wrapText="1"/>
    </xf>
    <xf numFmtId="0" fontId="21" fillId="38" borderId="40" xfId="0" applyFont="1" applyFill="1" applyBorder="1" applyAlignment="1">
      <alignment horizontal="center" vertical="top" wrapText="1"/>
    </xf>
    <xf numFmtId="0" fontId="21" fillId="38" borderId="13" xfId="0" applyFont="1" applyFill="1" applyBorder="1" applyAlignment="1">
      <alignment vertical="top" wrapText="1"/>
    </xf>
    <xf numFmtId="0" fontId="21" fillId="38" borderId="41" xfId="0" applyFont="1" applyFill="1" applyBorder="1" applyAlignment="1">
      <alignment vertical="top" wrapText="1"/>
    </xf>
    <xf numFmtId="0" fontId="2" fillId="0" borderId="0" xfId="0" applyFont="1" applyFill="1" applyBorder="1" applyAlignment="1">
      <alignment horizontal="center" vertical="top" wrapText="1"/>
    </xf>
    <xf numFmtId="0" fontId="22" fillId="33" borderId="18" xfId="0" applyFont="1" applyFill="1" applyBorder="1" applyAlignment="1">
      <alignment vertical="top" wrapText="1"/>
    </xf>
    <xf numFmtId="0" fontId="22" fillId="33" borderId="17" xfId="0" applyFont="1" applyFill="1" applyBorder="1" applyAlignment="1">
      <alignment vertical="top" wrapText="1"/>
    </xf>
    <xf numFmtId="0" fontId="21" fillId="33" borderId="20" xfId="0" applyFont="1" applyFill="1" applyBorder="1" applyAlignment="1">
      <alignment horizontal="center" vertical="top" wrapText="1"/>
    </xf>
    <xf numFmtId="0" fontId="21" fillId="33" borderId="16" xfId="0" applyFont="1" applyFill="1" applyBorder="1" applyAlignment="1">
      <alignment horizontal="center" vertical="top" wrapText="1"/>
    </xf>
    <xf numFmtId="0" fontId="22" fillId="0" borderId="12" xfId="0" applyFont="1" applyBorder="1" applyAlignment="1">
      <alignment vertical="top" wrapText="1"/>
    </xf>
    <xf numFmtId="0" fontId="22" fillId="0" borderId="10" xfId="0" applyFont="1" applyBorder="1" applyAlignment="1">
      <alignment vertical="top" wrapText="1"/>
    </xf>
    <xf numFmtId="0" fontId="21" fillId="33" borderId="19" xfId="0" applyFont="1" applyFill="1" applyBorder="1" applyAlignment="1">
      <alignment horizontal="center" vertical="top" wrapText="1"/>
    </xf>
    <xf numFmtId="0" fontId="21" fillId="33" borderId="17" xfId="0" applyFont="1" applyFill="1" applyBorder="1" applyAlignment="1">
      <alignment horizontal="center" vertical="top" wrapText="1"/>
    </xf>
    <xf numFmtId="0" fontId="22" fillId="33" borderId="28" xfId="0" applyFont="1" applyFill="1" applyBorder="1" applyAlignment="1">
      <alignment vertical="top" wrapText="1"/>
    </xf>
    <xf numFmtId="0" fontId="22" fillId="33" borderId="16" xfId="0" applyFont="1" applyFill="1" applyBorder="1" applyAlignment="1">
      <alignment vertical="top" wrapText="1"/>
    </xf>
    <xf numFmtId="0" fontId="29" fillId="33" borderId="33" xfId="0" applyFont="1" applyFill="1" applyBorder="1" applyAlignment="1">
      <alignment horizontal="center" vertical="top" wrapText="1"/>
    </xf>
    <xf numFmtId="0" fontId="2" fillId="33" borderId="29" xfId="0" applyFont="1" applyFill="1" applyBorder="1" applyAlignment="1">
      <alignment horizontal="center" vertical="top" wrapText="1"/>
    </xf>
    <xf numFmtId="6" fontId="22" fillId="0" borderId="14" xfId="0" applyNumberFormat="1" applyFont="1" applyBorder="1" applyAlignment="1">
      <alignment horizontal="right" vertical="top" wrapText="1"/>
    </xf>
    <xf numFmtId="6" fontId="22" fillId="0" borderId="10" xfId="0" applyNumberFormat="1" applyFont="1" applyBorder="1" applyAlignment="1">
      <alignment horizontal="right" vertical="top" wrapText="1"/>
    </xf>
    <xf numFmtId="0" fontId="24" fillId="0" borderId="25" xfId="0" applyFont="1" applyBorder="1" applyAlignment="1">
      <alignment vertical="top" wrapText="1"/>
    </xf>
    <xf numFmtId="0" fontId="0" fillId="0" borderId="23" xfId="0" applyBorder="1" applyAlignment="1">
      <alignment/>
    </xf>
    <xf numFmtId="0" fontId="0" fillId="0" borderId="21" xfId="0" applyBorder="1" applyAlignment="1">
      <alignment/>
    </xf>
    <xf numFmtId="0" fontId="0" fillId="0" borderId="33" xfId="0" applyBorder="1" applyAlignment="1">
      <alignment/>
    </xf>
    <xf numFmtId="0" fontId="0" fillId="0" borderId="10" xfId="0" applyBorder="1" applyAlignment="1">
      <alignment horizontal="right" vertical="top" wrapText="1"/>
    </xf>
    <xf numFmtId="6" fontId="22" fillId="0" borderId="12" xfId="0" applyNumberFormat="1" applyFont="1" applyBorder="1" applyAlignment="1">
      <alignment horizontal="right" vertical="top" wrapText="1"/>
    </xf>
    <xf numFmtId="0" fontId="74" fillId="0" borderId="11" xfId="0" applyFont="1" applyBorder="1" applyAlignment="1">
      <alignment vertical="center" wrapText="1"/>
    </xf>
    <xf numFmtId="0" fontId="74" fillId="0" borderId="21" xfId="0" applyFont="1" applyBorder="1" applyAlignment="1">
      <alignment vertical="center" wrapText="1"/>
    </xf>
    <xf numFmtId="0" fontId="74" fillId="0" borderId="21" xfId="0" applyFont="1" applyBorder="1" applyAlignment="1">
      <alignment horizontal="center" vertical="center" wrapText="1"/>
    </xf>
    <xf numFmtId="0" fontId="103" fillId="43" borderId="10" xfId="0" applyFont="1" applyFill="1" applyBorder="1" applyAlignment="1">
      <alignment vertical="center" wrapText="1"/>
    </xf>
    <xf numFmtId="0" fontId="103" fillId="43" borderId="16" xfId="0" applyFont="1" applyFill="1" applyBorder="1" applyAlignment="1">
      <alignment vertical="center" wrapText="1"/>
    </xf>
    <xf numFmtId="0" fontId="103" fillId="43" borderId="16" xfId="0" applyFont="1" applyFill="1" applyBorder="1" applyAlignment="1">
      <alignment horizontal="right" vertical="center" wrapText="1"/>
    </xf>
    <xf numFmtId="0" fontId="75" fillId="0" borderId="10" xfId="0" applyFont="1" applyBorder="1" applyAlignment="1">
      <alignment vertical="center" wrapText="1"/>
    </xf>
    <xf numFmtId="6" fontId="104" fillId="0" borderId="16" xfId="0" applyNumberFormat="1" applyFont="1" applyBorder="1" applyAlignment="1">
      <alignment vertical="center" wrapText="1"/>
    </xf>
    <xf numFmtId="0" fontId="75" fillId="0" borderId="16" xfId="0" applyFont="1" applyBorder="1" applyAlignment="1">
      <alignment vertical="center" wrapText="1"/>
    </xf>
    <xf numFmtId="0" fontId="104" fillId="0" borderId="16" xfId="0" applyFont="1" applyBorder="1" applyAlignment="1">
      <alignment vertical="center" wrapText="1"/>
    </xf>
    <xf numFmtId="6" fontId="104" fillId="0" borderId="16" xfId="0" applyNumberFormat="1" applyFont="1" applyBorder="1" applyAlignment="1">
      <alignment horizontal="right" vertical="center" wrapText="1"/>
    </xf>
    <xf numFmtId="0" fontId="105" fillId="0" borderId="10" xfId="0" applyFont="1" applyBorder="1" applyAlignment="1">
      <alignment vertical="center" wrapText="1"/>
    </xf>
    <xf numFmtId="0" fontId="106" fillId="44" borderId="10" xfId="0" applyFont="1" applyFill="1" applyBorder="1" applyAlignment="1">
      <alignment vertical="center" wrapText="1"/>
    </xf>
    <xf numFmtId="0" fontId="107" fillId="44" borderId="16" xfId="0" applyFont="1" applyFill="1" applyBorder="1" applyAlignment="1">
      <alignment vertical="center" wrapText="1"/>
    </xf>
    <xf numFmtId="0" fontId="108" fillId="44" borderId="16" xfId="0" applyFont="1" applyFill="1" applyBorder="1" applyAlignment="1">
      <alignment vertical="center" wrapText="1"/>
    </xf>
    <xf numFmtId="0" fontId="109" fillId="44" borderId="16" xfId="0" applyFont="1" applyFill="1" applyBorder="1" applyAlignment="1">
      <alignment vertical="center" wrapText="1"/>
    </xf>
    <xf numFmtId="6" fontId="109" fillId="44" borderId="16" xfId="0" applyNumberFormat="1" applyFont="1" applyFill="1" applyBorder="1" applyAlignment="1">
      <alignment horizontal="right" vertical="center" wrapText="1"/>
    </xf>
    <xf numFmtId="0" fontId="106" fillId="43" borderId="10" xfId="0" applyFont="1" applyFill="1" applyBorder="1" applyAlignment="1">
      <alignment vertical="center" wrapText="1"/>
    </xf>
    <xf numFmtId="9" fontId="107" fillId="43" borderId="16" xfId="0" applyNumberFormat="1" applyFont="1" applyFill="1" applyBorder="1" applyAlignment="1">
      <alignment vertical="center" wrapText="1"/>
    </xf>
    <xf numFmtId="0" fontId="108" fillId="43" borderId="16" xfId="0" applyFont="1" applyFill="1" applyBorder="1" applyAlignment="1">
      <alignment vertical="center" wrapText="1"/>
    </xf>
    <xf numFmtId="0" fontId="107" fillId="43" borderId="16" xfId="0" applyFont="1" applyFill="1" applyBorder="1" applyAlignment="1">
      <alignment vertical="center" wrapText="1"/>
    </xf>
    <xf numFmtId="6" fontId="109" fillId="43" borderId="16" xfId="0" applyNumberFormat="1" applyFont="1" applyFill="1" applyBorder="1" applyAlignment="1">
      <alignment horizontal="right" vertical="center" wrapText="1"/>
    </xf>
    <xf numFmtId="0" fontId="110" fillId="43" borderId="16" xfId="0" applyFont="1" applyFill="1" applyBorder="1" applyAlignment="1">
      <alignment vertical="center" wrapText="1"/>
    </xf>
    <xf numFmtId="0" fontId="110" fillId="43" borderId="16" xfId="0" applyFont="1" applyFill="1" applyBorder="1" applyAlignment="1">
      <alignment horizontal="right" vertical="center" wrapText="1"/>
    </xf>
    <xf numFmtId="0" fontId="105" fillId="0" borderId="16" xfId="0" applyFont="1" applyBorder="1" applyAlignment="1">
      <alignment vertical="center" wrapText="1"/>
    </xf>
    <xf numFmtId="0" fontId="104" fillId="0" borderId="10" xfId="0" applyFont="1" applyBorder="1" applyAlignment="1">
      <alignment vertical="center" wrapText="1"/>
    </xf>
    <xf numFmtId="0" fontId="74" fillId="0" borderId="10" xfId="0" applyFont="1" applyBorder="1" applyAlignment="1">
      <alignment vertical="center" wrapText="1"/>
    </xf>
    <xf numFmtId="0" fontId="110" fillId="0" borderId="16" xfId="0" applyFont="1" applyBorder="1" applyAlignment="1">
      <alignment vertical="center" wrapText="1"/>
    </xf>
    <xf numFmtId="0" fontId="110" fillId="0" borderId="16" xfId="0" applyFont="1" applyBorder="1" applyAlignment="1">
      <alignment horizontal="right" vertical="center" wrapText="1"/>
    </xf>
    <xf numFmtId="0" fontId="106" fillId="0" borderId="10" xfId="0" applyFont="1" applyBorder="1" applyAlignment="1">
      <alignment vertical="center" wrapText="1"/>
    </xf>
    <xf numFmtId="6" fontId="107" fillId="0" borderId="16" xfId="0" applyNumberFormat="1" applyFont="1" applyBorder="1" applyAlignment="1">
      <alignment vertical="center" wrapText="1"/>
    </xf>
    <xf numFmtId="0" fontId="105" fillId="43" borderId="16" xfId="0" applyFont="1" applyFill="1" applyBorder="1" applyAlignment="1">
      <alignment vertical="center" wrapText="1"/>
    </xf>
    <xf numFmtId="6" fontId="110" fillId="43" borderId="16" xfId="0" applyNumberFormat="1" applyFont="1" applyFill="1" applyBorder="1" applyAlignment="1">
      <alignment horizontal="center" vertical="center" wrapText="1"/>
    </xf>
    <xf numFmtId="0" fontId="103" fillId="45" borderId="10" xfId="0" applyFont="1" applyFill="1" applyBorder="1" applyAlignment="1">
      <alignment vertical="center" wrapText="1"/>
    </xf>
    <xf numFmtId="0" fontId="104" fillId="45" borderId="16" xfId="0" applyFont="1" applyFill="1" applyBorder="1" applyAlignment="1">
      <alignment vertical="center" wrapText="1"/>
    </xf>
    <xf numFmtId="0" fontId="105" fillId="45" borderId="16" xfId="0" applyFont="1" applyFill="1" applyBorder="1" applyAlignment="1">
      <alignment vertical="center" wrapText="1"/>
    </xf>
    <xf numFmtId="0" fontId="110" fillId="45" borderId="16" xfId="0" applyFont="1" applyFill="1" applyBorder="1" applyAlignment="1">
      <alignment vertical="center" wrapText="1"/>
    </xf>
    <xf numFmtId="6" fontId="110" fillId="45" borderId="16" xfId="0" applyNumberFormat="1" applyFont="1" applyFill="1" applyBorder="1" applyAlignment="1">
      <alignment horizontal="right" vertical="center" wrapText="1"/>
    </xf>
    <xf numFmtId="0" fontId="3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647700</xdr:colOff>
      <xdr:row>5</xdr:row>
      <xdr:rowOff>161925</xdr:rowOff>
    </xdr:to>
    <xdr:pic>
      <xdr:nvPicPr>
        <xdr:cNvPr id="1" name="Picture 1" descr="zender logo"/>
        <xdr:cNvPicPr preferRelativeResize="1">
          <a:picLocks noChangeAspect="1"/>
        </xdr:cNvPicPr>
      </xdr:nvPicPr>
      <xdr:blipFill>
        <a:blip r:embed="rId1"/>
        <a:stretch>
          <a:fillRect/>
        </a:stretch>
      </xdr:blipFill>
      <xdr:spPr>
        <a:xfrm>
          <a:off x="47625" y="0"/>
          <a:ext cx="1362075" cy="971550"/>
        </a:xfrm>
        <a:prstGeom prst="rect">
          <a:avLst/>
        </a:prstGeom>
        <a:noFill/>
        <a:ln w="9525" cmpd="sng">
          <a:noFill/>
        </a:ln>
      </xdr:spPr>
    </xdr:pic>
    <xdr:clientData/>
  </xdr:twoCellAnchor>
  <xdr:oneCellAnchor>
    <xdr:from>
      <xdr:col>0</xdr:col>
      <xdr:colOff>238125</xdr:colOff>
      <xdr:row>5</xdr:row>
      <xdr:rowOff>542925</xdr:rowOff>
    </xdr:from>
    <xdr:ext cx="4962525" cy="4838700"/>
    <xdr:sp>
      <xdr:nvSpPr>
        <xdr:cNvPr id="2" name="TextBox 3"/>
        <xdr:cNvSpPr txBox="1">
          <a:spLocks noChangeArrowheads="1"/>
        </xdr:cNvSpPr>
      </xdr:nvSpPr>
      <xdr:spPr>
        <a:xfrm>
          <a:off x="238125" y="1352550"/>
          <a:ext cx="4962525" cy="4838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Excel Workbook is intended to accompany the </a:t>
          </a:r>
          <a:r>
            <a:rPr lang="en-US" cap="none" sz="1200" b="0" i="0" u="none" baseline="0">
              <a:solidFill>
                <a:srgbClr val="000000"/>
              </a:solidFill>
              <a:latin typeface="Calibri"/>
              <a:ea typeface="Calibri"/>
              <a:cs typeface="Calibri"/>
            </a:rPr>
            <a:t>Alaska Village ISWMP Template Versions 5.0-8.6.   Each Table corresponds to a table in the text version of the template.  By programming mathematic calculations based on user-supplied data and research-sourced data, these  tables are meant as a time-saving device for template users.  The workbook was envisioned, designed, and developed by Zender Environmental, with funding from Zender Environmental Health www.zendergroup.org, USDA Rural Development, Alaska Native Tribal Health Consortium www.anthc.org  AK Forum   © Copyright 2007-2021.  The workbook and  template were created for individual Tribes and rural communities to develop their own solid waste plans.   Individual Tribes or communities that have not used sub-contractors in preparation of this plan may use this workbook in developing their plans and for other work that is not-for-profit.  This workbook and template were largely developed by volunteer labor and are provided free-of-charge.  Please cite the source of the tables when used for purposes other than plan template completion.  All other entities, including sub-contractors to governments, agencies, and Tribal and non-Tribal non-profits, must request permission for use of this workbook, and use the appropriate citation methodology (e.g. “based on”, “modified from”, “excerpted from”, etc. in a location to be determined by extent and purpose of use).   Requests should be emailed to Lynn Zender,  lzender@zendergroup.org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76200</xdr:colOff>
      <xdr:row>5</xdr:row>
      <xdr:rowOff>76200</xdr:rowOff>
    </xdr:from>
    <xdr:ext cx="1447800" cy="428625"/>
    <xdr:sp>
      <xdr:nvSpPr>
        <xdr:cNvPr id="3" name="TextBox 5"/>
        <xdr:cNvSpPr txBox="1">
          <a:spLocks noChangeArrowheads="1"/>
        </xdr:cNvSpPr>
      </xdr:nvSpPr>
      <xdr:spPr>
        <a:xfrm>
          <a:off x="76200" y="885825"/>
          <a:ext cx="1447800" cy="428625"/>
        </a:xfrm>
        <a:prstGeom prst="rect">
          <a:avLst/>
        </a:prstGeom>
        <a:noFill/>
        <a:ln w="9525" cmpd="sng">
          <a:noFill/>
        </a:ln>
      </xdr:spPr>
      <xdr:txBody>
        <a:bodyPr vertOverflow="clip" wrap="square">
          <a:spAutoFit/>
        </a:bodyPr>
        <a:p>
          <a:pPr algn="l">
            <a:defRPr/>
          </a:pPr>
          <a:r>
            <a:rPr lang="en-US" cap="none" sz="1100" b="0" i="1" u="none" baseline="0">
              <a:solidFill>
                <a:srgbClr val="006411"/>
              </a:solidFill>
            </a:rPr>
            <a:t>www.zendergroup.org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47625</xdr:colOff>
      <xdr:row>6</xdr:row>
      <xdr:rowOff>304800</xdr:rowOff>
    </xdr:from>
    <xdr:ext cx="4619625" cy="3152775"/>
    <xdr:sp>
      <xdr:nvSpPr>
        <xdr:cNvPr id="1" name="TextBox 1"/>
        <xdr:cNvSpPr txBox="1">
          <a:spLocks noChangeArrowheads="1"/>
        </xdr:cNvSpPr>
      </xdr:nvSpPr>
      <xdr:spPr>
        <a:xfrm>
          <a:off x="8534400" y="3905250"/>
          <a:ext cx="4619625" cy="3152775"/>
        </a:xfrm>
        <a:prstGeom prst="rect">
          <a:avLst/>
        </a:prstGeom>
        <a:noFill/>
        <a:ln w="9525" cmpd="sng">
          <a:noFill/>
        </a:ln>
      </xdr:spPr>
      <xdr:txBody>
        <a:bodyPr vertOverflow="clip" wrap="square"/>
        <a:p>
          <a:pPr algn="l">
            <a:defRPr/>
          </a:pPr>
          <a:r>
            <a:rPr lang="en-US" cap="none" sz="1200" b="0" i="0" u="none" baseline="0">
              <a:solidFill>
                <a:srgbClr val="000000"/>
              </a:solidFill>
            </a:rPr>
            <a:t>Note:  Black text is automatically calculated foryou from the numbers you replace in red.  Blue text here means that these numbers have been researched, and you should leave those alone.  They are average values from either national figures or Alaska figures.  However, for some cases, the average lifespan or item weight may be different in your community.  For example, in some communities with year-round open water, boat batteries last only one year, not 2. Or in other communities, the average boat is a large fishing boat so the average battery weight is higher.   If you feel confidentthat your number is more refletctive of your community thanthe blue text, use your number instead.  As with the rest of the template, when you are finished, the blue text should be changed to black.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C6:C10"/>
  <sheetViews>
    <sheetView tabSelected="1" zoomScale="120" zoomScaleNormal="120" zoomScalePageLayoutView="0" workbookViewId="0" topLeftCell="A1">
      <selection activeCell="H6" sqref="H6"/>
    </sheetView>
  </sheetViews>
  <sheetFormatPr defaultColWidth="11.421875" defaultRowHeight="12.75"/>
  <sheetData>
    <row r="6" ht="163.5" customHeight="1">
      <c r="C6" s="299"/>
    </row>
    <row r="7" ht="18">
      <c r="C7" s="300"/>
    </row>
    <row r="8" ht="22.5">
      <c r="C8" s="301"/>
    </row>
    <row r="9" ht="14.25">
      <c r="C9" s="299"/>
    </row>
    <row r="10" ht="14.25">
      <c r="C10" s="299"/>
    </row>
  </sheetData>
  <sheetProtection/>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dimension ref="A1:I23"/>
  <sheetViews>
    <sheetView zoomScalePageLayoutView="0" workbookViewId="0" topLeftCell="A5">
      <selection activeCell="K6" sqref="K6"/>
    </sheetView>
  </sheetViews>
  <sheetFormatPr defaultColWidth="8.7109375" defaultRowHeight="12.75"/>
  <cols>
    <col min="1" max="1" width="40.28125" style="0" customWidth="1"/>
    <col min="2" max="2" width="12.421875" style="0" customWidth="1"/>
    <col min="3" max="3" width="12.28125" style="0" customWidth="1"/>
    <col min="4" max="4" width="17.00390625" style="23" customWidth="1"/>
    <col min="5" max="5" width="13.421875" style="0" customWidth="1"/>
    <col min="6" max="6" width="15.140625" style="0" customWidth="1"/>
    <col min="7" max="7" width="11.7109375" style="54" customWidth="1"/>
  </cols>
  <sheetData>
    <row r="1" spans="1:6" ht="17.25" thickBot="1">
      <c r="A1" s="373" t="s">
        <v>188</v>
      </c>
      <c r="B1" s="373"/>
      <c r="C1" s="373"/>
      <c r="D1" s="373"/>
      <c r="E1" s="373"/>
      <c r="F1" s="373"/>
    </row>
    <row r="2" spans="1:7" ht="13.5" thickBot="1">
      <c r="A2" s="83" t="s">
        <v>14</v>
      </c>
      <c r="B2" s="83" t="s">
        <v>53</v>
      </c>
      <c r="C2" s="83" t="s">
        <v>54</v>
      </c>
      <c r="D2" s="83" t="s">
        <v>56</v>
      </c>
      <c r="E2" s="82" t="s">
        <v>58</v>
      </c>
      <c r="F2" s="83" t="s">
        <v>60</v>
      </c>
      <c r="G2" s="84" t="s">
        <v>64</v>
      </c>
    </row>
    <row r="3" spans="1:7" ht="48" customHeight="1">
      <c r="A3" s="303" t="s">
        <v>292</v>
      </c>
      <c r="B3" s="44" t="s">
        <v>126</v>
      </c>
      <c r="C3" s="44" t="s">
        <v>1</v>
      </c>
      <c r="D3" s="55" t="s">
        <v>120</v>
      </c>
      <c r="E3" s="50" t="s">
        <v>131</v>
      </c>
      <c r="F3" s="53" t="s">
        <v>132</v>
      </c>
      <c r="G3" s="56" t="s">
        <v>297</v>
      </c>
    </row>
    <row r="4" spans="1:7" ht="105.75" customHeight="1" thickBot="1">
      <c r="A4" s="273"/>
      <c r="B4" s="90" t="s">
        <v>111</v>
      </c>
      <c r="C4" s="90" t="s">
        <v>298</v>
      </c>
      <c r="D4" s="81" t="s">
        <v>299</v>
      </c>
      <c r="E4" s="85" t="s">
        <v>180</v>
      </c>
      <c r="F4" s="53"/>
      <c r="G4" s="56"/>
    </row>
    <row r="5" spans="1:7" s="67" customFormat="1" ht="28.5" customHeight="1" thickBot="1">
      <c r="A5" s="68"/>
      <c r="B5" s="69" t="s">
        <v>279</v>
      </c>
      <c r="C5" s="69" t="s">
        <v>279</v>
      </c>
      <c r="D5" s="87" t="s">
        <v>133</v>
      </c>
      <c r="E5" s="69" t="s">
        <v>279</v>
      </c>
      <c r="F5" s="88" t="s">
        <v>134</v>
      </c>
      <c r="G5" s="89" t="s">
        <v>135</v>
      </c>
    </row>
    <row r="6" spans="1:7" ht="14.25" customHeight="1" thickBot="1">
      <c r="A6" s="45" t="s">
        <v>112</v>
      </c>
      <c r="B6" s="185">
        <v>10000</v>
      </c>
      <c r="C6" s="63">
        <v>0.1</v>
      </c>
      <c r="D6" s="64">
        <f>$D$21*B6*(1-C6)</f>
        <v>35010</v>
      </c>
      <c r="E6" s="65">
        <v>30</v>
      </c>
      <c r="F6" s="183">
        <f aca="true" t="shared" si="0" ref="F6:F14">D6/E6</f>
        <v>1167</v>
      </c>
      <c r="G6" s="66">
        <f>F6/2000</f>
        <v>0.5835</v>
      </c>
    </row>
    <row r="7" spans="1:7" ht="12" thickBot="1">
      <c r="A7" s="60" t="s">
        <v>113</v>
      </c>
      <c r="B7" s="186">
        <v>3000</v>
      </c>
      <c r="C7" s="63">
        <v>0.05</v>
      </c>
      <c r="D7" s="64">
        <f>$D$21*B7*(1-C7)</f>
        <v>11086.5</v>
      </c>
      <c r="E7" s="62">
        <v>20</v>
      </c>
      <c r="F7" s="183">
        <f t="shared" si="0"/>
        <v>554.325</v>
      </c>
      <c r="G7" s="66">
        <f aca="true" t="shared" si="1" ref="G7:G14">F7/2000</f>
        <v>0.27716250000000003</v>
      </c>
    </row>
    <row r="8" spans="1:7" ht="12" thickBot="1">
      <c r="A8" s="60" t="s">
        <v>114</v>
      </c>
      <c r="B8" s="186">
        <v>1000</v>
      </c>
      <c r="C8" s="63">
        <v>0.1</v>
      </c>
      <c r="D8" s="64">
        <f>$D$21*B8*(1-C8)</f>
        <v>3501</v>
      </c>
      <c r="E8" s="62">
        <v>20</v>
      </c>
      <c r="F8" s="183">
        <f t="shared" si="0"/>
        <v>175.05</v>
      </c>
      <c r="G8" s="66">
        <f t="shared" si="1"/>
        <v>0.087525</v>
      </c>
    </row>
    <row r="9" spans="1:7" ht="12" thickBot="1">
      <c r="A9" s="60" t="s">
        <v>115</v>
      </c>
      <c r="B9" s="186">
        <v>1500</v>
      </c>
      <c r="C9" s="61">
        <v>0.08</v>
      </c>
      <c r="D9" s="64">
        <f>$D$21*B9*(1-C9)</f>
        <v>5368.2</v>
      </c>
      <c r="E9" s="62">
        <v>15</v>
      </c>
      <c r="F9" s="183">
        <f t="shared" si="0"/>
        <v>357.88</v>
      </c>
      <c r="G9" s="66">
        <f>F9/2000</f>
        <v>0.17894</v>
      </c>
    </row>
    <row r="10" spans="1:7" ht="12" thickBot="1">
      <c r="A10" s="45" t="s">
        <v>116</v>
      </c>
      <c r="B10" s="187">
        <v>1000</v>
      </c>
      <c r="C10" s="46">
        <v>0.15</v>
      </c>
      <c r="D10" s="80">
        <f>$C$21*B10*(1-C10)</f>
        <v>3723</v>
      </c>
      <c r="E10" s="47">
        <v>1</v>
      </c>
      <c r="F10" s="183">
        <f t="shared" si="0"/>
        <v>3723</v>
      </c>
      <c r="G10" s="66">
        <f t="shared" si="1"/>
        <v>1.8615</v>
      </c>
    </row>
    <row r="11" spans="1:7" ht="12" thickBot="1">
      <c r="A11" s="86" t="s">
        <v>181</v>
      </c>
      <c r="B11" s="187">
        <v>500</v>
      </c>
      <c r="C11" s="46">
        <v>0.1</v>
      </c>
      <c r="D11" s="70">
        <f>B11*(1-C11)*$D$22</f>
        <v>7951.500000000001</v>
      </c>
      <c r="E11" s="47">
        <v>1</v>
      </c>
      <c r="F11" s="183">
        <f t="shared" si="0"/>
        <v>7951.500000000001</v>
      </c>
      <c r="G11" s="66">
        <f t="shared" si="1"/>
        <v>3.9757500000000006</v>
      </c>
    </row>
    <row r="12" spans="1:7" ht="27.75" customHeight="1" thickBot="1">
      <c r="A12" s="315" t="s">
        <v>320</v>
      </c>
      <c r="B12" s="187">
        <v>750</v>
      </c>
      <c r="C12" s="46">
        <v>0.1</v>
      </c>
      <c r="D12" s="70">
        <f>B12*(1-C12)*$D$22</f>
        <v>11927.250000000002</v>
      </c>
      <c r="E12" s="47">
        <v>7</v>
      </c>
      <c r="F12" s="183">
        <f t="shared" si="0"/>
        <v>1703.8928571428573</v>
      </c>
      <c r="G12" s="66">
        <f t="shared" si="1"/>
        <v>0.8519464285714287</v>
      </c>
    </row>
    <row r="13" spans="1:7" ht="12" thickBot="1">
      <c r="A13" s="45" t="s">
        <v>117</v>
      </c>
      <c r="B13" s="187">
        <v>750</v>
      </c>
      <c r="C13" s="46">
        <v>0.1</v>
      </c>
      <c r="D13" s="70">
        <f>B13*(1-C13)*$C$23</f>
        <v>77625</v>
      </c>
      <c r="E13" s="47">
        <v>7</v>
      </c>
      <c r="F13" s="183">
        <f t="shared" si="0"/>
        <v>11089.285714285714</v>
      </c>
      <c r="G13" s="66">
        <f t="shared" si="1"/>
        <v>5.544642857142857</v>
      </c>
    </row>
    <row r="14" spans="1:7" ht="12" thickBot="1">
      <c r="A14" s="45" t="s">
        <v>118</v>
      </c>
      <c r="B14" s="187">
        <v>1000</v>
      </c>
      <c r="C14" s="46">
        <v>0.12</v>
      </c>
      <c r="D14" s="70">
        <f>B14*C14*$D$23</f>
        <v>18600</v>
      </c>
      <c r="E14" s="47">
        <v>5</v>
      </c>
      <c r="F14" s="183">
        <f t="shared" si="0"/>
        <v>3720</v>
      </c>
      <c r="G14" s="66">
        <f t="shared" si="1"/>
        <v>1.86</v>
      </c>
    </row>
    <row r="15" spans="1:7" ht="12" thickBot="1">
      <c r="A15" s="48" t="s">
        <v>119</v>
      </c>
      <c r="B15" s="92"/>
      <c r="C15" s="92"/>
      <c r="D15" s="182">
        <f>SUM(D6:D14)</f>
        <v>174792.45</v>
      </c>
      <c r="E15" s="92"/>
      <c r="F15" s="184">
        <f>SUM(F6:F14)</f>
        <v>30441.93357142857</v>
      </c>
      <c r="G15" s="91">
        <f>SUM(G6:G14)</f>
        <v>15.220966785714285</v>
      </c>
    </row>
    <row r="16" spans="1:6" ht="12">
      <c r="A16" s="49"/>
      <c r="B16" s="49"/>
      <c r="C16" s="49"/>
      <c r="D16" s="57"/>
      <c r="E16" s="49"/>
      <c r="F16" s="49"/>
    </row>
    <row r="17" spans="1:7" ht="55.5" customHeight="1">
      <c r="A17" s="374" t="s">
        <v>291</v>
      </c>
      <c r="B17" s="375"/>
      <c r="C17" s="375"/>
      <c r="D17" s="375"/>
      <c r="E17" s="375"/>
      <c r="F17" s="375"/>
      <c r="G17" s="375"/>
    </row>
    <row r="19" spans="1:9" ht="14.25" thickBot="1">
      <c r="A19" s="376" t="s">
        <v>182</v>
      </c>
      <c r="B19" s="377"/>
      <c r="C19" s="377"/>
      <c r="D19" s="377"/>
      <c r="E19" s="377"/>
      <c r="F19" s="377"/>
      <c r="G19" s="377"/>
      <c r="H19" s="377"/>
      <c r="I19" s="377"/>
    </row>
    <row r="20" spans="2:4" ht="24.75" thickBot="1">
      <c r="B20" s="58"/>
      <c r="C20" s="51" t="s">
        <v>121</v>
      </c>
      <c r="D20" s="51" t="s">
        <v>122</v>
      </c>
    </row>
    <row r="21" spans="2:4" ht="24.75" thickBot="1">
      <c r="B21" s="59" t="s">
        <v>123</v>
      </c>
      <c r="C21" s="52">
        <v>4.38</v>
      </c>
      <c r="D21" s="52">
        <v>3.89</v>
      </c>
    </row>
    <row r="22" spans="2:4" ht="111" thickBot="1">
      <c r="B22" s="59" t="s">
        <v>124</v>
      </c>
      <c r="C22" s="52" t="s">
        <v>300</v>
      </c>
      <c r="D22" s="52">
        <v>17.67</v>
      </c>
    </row>
    <row r="23" spans="2:4" ht="12" thickBot="1">
      <c r="B23" s="59" t="s">
        <v>125</v>
      </c>
      <c r="C23" s="52">
        <v>115</v>
      </c>
      <c r="D23" s="52">
        <v>155</v>
      </c>
    </row>
  </sheetData>
  <sheetProtection/>
  <mergeCells count="3">
    <mergeCell ref="A1:F1"/>
    <mergeCell ref="A17:G17"/>
    <mergeCell ref="A19:I19"/>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H33"/>
  <sheetViews>
    <sheetView zoomScalePageLayoutView="0" workbookViewId="0" topLeftCell="A1">
      <selection activeCell="H18" sqref="H18"/>
    </sheetView>
  </sheetViews>
  <sheetFormatPr defaultColWidth="8.7109375" defaultRowHeight="12.75"/>
  <cols>
    <col min="1" max="1" width="20.140625" style="0" customWidth="1"/>
    <col min="2" max="2" width="27.421875" style="0" customWidth="1"/>
    <col min="3" max="3" width="29.00390625" style="0" customWidth="1"/>
  </cols>
  <sheetData>
    <row r="1" spans="1:3" ht="45" customHeight="1" thickBot="1">
      <c r="A1" s="378" t="s">
        <v>290</v>
      </c>
      <c r="B1" s="379"/>
      <c r="C1" s="380"/>
    </row>
    <row r="2" spans="1:8" ht="14.25" thickBot="1">
      <c r="A2" s="188" t="s">
        <v>301</v>
      </c>
      <c r="B2" s="189" t="s">
        <v>302</v>
      </c>
      <c r="C2" s="190" t="s">
        <v>304</v>
      </c>
      <c r="E2" t="s">
        <v>303</v>
      </c>
      <c r="H2" s="194">
        <v>0.02</v>
      </c>
    </row>
    <row r="3" spans="1:3" ht="14.25" thickBot="1">
      <c r="A3" s="195">
        <v>2008</v>
      </c>
      <c r="B3" s="192">
        <v>340</v>
      </c>
      <c r="C3" s="193">
        <v>243</v>
      </c>
    </row>
    <row r="4" spans="1:3" ht="14.25" thickBot="1">
      <c r="A4" s="191">
        <f>A3+1</f>
        <v>2009</v>
      </c>
      <c r="B4" s="196">
        <f>B3*(1+$H$2)</f>
        <v>346.8</v>
      </c>
      <c r="C4" s="197">
        <f>C3*($H$2+1)</f>
        <v>247.86</v>
      </c>
    </row>
    <row r="5" spans="1:3" ht="14.25" thickBot="1">
      <c r="A5" s="191">
        <f aca="true" t="shared" si="0" ref="A5:A33">A4+1</f>
        <v>2010</v>
      </c>
      <c r="B5" s="196">
        <f aca="true" t="shared" si="1" ref="B5:B33">B4*(1+$H$2)</f>
        <v>353.736</v>
      </c>
      <c r="C5" s="197">
        <f aca="true" t="shared" si="2" ref="C5:C33">C4*($H$2+1)</f>
        <v>252.8172</v>
      </c>
    </row>
    <row r="6" spans="1:3" ht="14.25" thickBot="1">
      <c r="A6" s="191">
        <f t="shared" si="0"/>
        <v>2011</v>
      </c>
      <c r="B6" s="196">
        <f t="shared" si="1"/>
        <v>360.81072</v>
      </c>
      <c r="C6" s="197">
        <f t="shared" si="2"/>
        <v>257.87354400000004</v>
      </c>
    </row>
    <row r="7" spans="1:3" ht="14.25" thickBot="1">
      <c r="A7" s="191">
        <f t="shared" si="0"/>
        <v>2012</v>
      </c>
      <c r="B7" s="196">
        <f t="shared" si="1"/>
        <v>368.0269344</v>
      </c>
      <c r="C7" s="197">
        <f t="shared" si="2"/>
        <v>263.03101488000004</v>
      </c>
    </row>
    <row r="8" spans="1:3" ht="14.25" thickBot="1">
      <c r="A8" s="191">
        <f t="shared" si="0"/>
        <v>2013</v>
      </c>
      <c r="B8" s="196">
        <f t="shared" si="1"/>
        <v>375.38747308800004</v>
      </c>
      <c r="C8" s="197">
        <f t="shared" si="2"/>
        <v>268.2916351776</v>
      </c>
    </row>
    <row r="9" spans="1:3" ht="14.25" thickBot="1">
      <c r="A9" s="191">
        <f t="shared" si="0"/>
        <v>2014</v>
      </c>
      <c r="B9" s="196">
        <f t="shared" si="1"/>
        <v>382.89522254976004</v>
      </c>
      <c r="C9" s="197">
        <f t="shared" si="2"/>
        <v>273.65746788115206</v>
      </c>
    </row>
    <row r="10" spans="1:3" ht="14.25" thickBot="1">
      <c r="A10" s="191">
        <f t="shared" si="0"/>
        <v>2015</v>
      </c>
      <c r="B10" s="196">
        <f t="shared" si="1"/>
        <v>390.55312700075524</v>
      </c>
      <c r="C10" s="197">
        <f t="shared" si="2"/>
        <v>279.13061723877513</v>
      </c>
    </row>
    <row r="11" spans="1:3" ht="14.25" thickBot="1">
      <c r="A11" s="191">
        <f t="shared" si="0"/>
        <v>2016</v>
      </c>
      <c r="B11" s="196">
        <f t="shared" si="1"/>
        <v>398.3641895407703</v>
      </c>
      <c r="C11" s="197">
        <f t="shared" si="2"/>
        <v>284.7132295835506</v>
      </c>
    </row>
    <row r="12" spans="1:3" ht="14.25" thickBot="1">
      <c r="A12" s="191">
        <f t="shared" si="0"/>
        <v>2017</v>
      </c>
      <c r="B12" s="196">
        <f t="shared" si="1"/>
        <v>406.33147333158576</v>
      </c>
      <c r="C12" s="197">
        <f t="shared" si="2"/>
        <v>290.40749417522164</v>
      </c>
    </row>
    <row r="13" spans="1:3" ht="14.25" thickBot="1">
      <c r="A13" s="191">
        <f t="shared" si="0"/>
        <v>2018</v>
      </c>
      <c r="B13" s="196">
        <f t="shared" si="1"/>
        <v>414.45810279821745</v>
      </c>
      <c r="C13" s="197">
        <f t="shared" si="2"/>
        <v>296.21564405872607</v>
      </c>
    </row>
    <row r="14" spans="1:3" ht="14.25" thickBot="1">
      <c r="A14" s="191">
        <f t="shared" si="0"/>
        <v>2019</v>
      </c>
      <c r="B14" s="196">
        <f t="shared" si="1"/>
        <v>422.7472648541818</v>
      </c>
      <c r="C14" s="197">
        <f t="shared" si="2"/>
        <v>302.13995693990057</v>
      </c>
    </row>
    <row r="15" spans="1:3" ht="14.25" thickBot="1">
      <c r="A15" s="191">
        <f t="shared" si="0"/>
        <v>2020</v>
      </c>
      <c r="B15" s="196">
        <f t="shared" si="1"/>
        <v>431.2022101512655</v>
      </c>
      <c r="C15" s="197">
        <f t="shared" si="2"/>
        <v>308.18275607869856</v>
      </c>
    </row>
    <row r="16" spans="1:3" ht="14.25" thickBot="1">
      <c r="A16" s="191">
        <f t="shared" si="0"/>
        <v>2021</v>
      </c>
      <c r="B16" s="196">
        <f t="shared" si="1"/>
        <v>439.8262543542908</v>
      </c>
      <c r="C16" s="197">
        <f t="shared" si="2"/>
        <v>314.34641120027254</v>
      </c>
    </row>
    <row r="17" spans="1:3" ht="14.25" thickBot="1">
      <c r="A17" s="191">
        <f t="shared" si="0"/>
        <v>2022</v>
      </c>
      <c r="B17" s="196">
        <f t="shared" si="1"/>
        <v>448.6227794413766</v>
      </c>
      <c r="C17" s="197">
        <f t="shared" si="2"/>
        <v>320.633339424278</v>
      </c>
    </row>
    <row r="18" spans="1:3" ht="14.25" thickBot="1">
      <c r="A18" s="191">
        <f t="shared" si="0"/>
        <v>2023</v>
      </c>
      <c r="B18" s="196">
        <f t="shared" si="1"/>
        <v>457.59523503020415</v>
      </c>
      <c r="C18" s="197">
        <f t="shared" si="2"/>
        <v>327.0460062127636</v>
      </c>
    </row>
    <row r="19" spans="1:3" ht="14.25" thickBot="1">
      <c r="A19" s="191">
        <f t="shared" si="0"/>
        <v>2024</v>
      </c>
      <c r="B19" s="196">
        <f t="shared" si="1"/>
        <v>466.7471397308082</v>
      </c>
      <c r="C19" s="197">
        <f t="shared" si="2"/>
        <v>333.58692633701884</v>
      </c>
    </row>
    <row r="20" spans="1:3" ht="14.25" thickBot="1">
      <c r="A20" s="191">
        <f t="shared" si="0"/>
        <v>2025</v>
      </c>
      <c r="B20" s="196">
        <f t="shared" si="1"/>
        <v>476.08208252542437</v>
      </c>
      <c r="C20" s="197">
        <f t="shared" si="2"/>
        <v>340.25866486375924</v>
      </c>
    </row>
    <row r="21" spans="1:3" ht="14.25" thickBot="1">
      <c r="A21" s="191">
        <f t="shared" si="0"/>
        <v>2026</v>
      </c>
      <c r="B21" s="196">
        <f t="shared" si="1"/>
        <v>485.6037241759329</v>
      </c>
      <c r="C21" s="197">
        <f t="shared" si="2"/>
        <v>347.0638381610344</v>
      </c>
    </row>
    <row r="22" spans="1:3" ht="14.25" thickBot="1">
      <c r="A22" s="191">
        <f t="shared" si="0"/>
        <v>2027</v>
      </c>
      <c r="B22" s="196">
        <f t="shared" si="1"/>
        <v>495.31579865945156</v>
      </c>
      <c r="C22" s="197">
        <f t="shared" si="2"/>
        <v>354.0051149242551</v>
      </c>
    </row>
    <row r="23" spans="1:3" ht="14.25" thickBot="1">
      <c r="A23" s="191">
        <f t="shared" si="0"/>
        <v>2028</v>
      </c>
      <c r="B23" s="196">
        <f t="shared" si="1"/>
        <v>505.2221146326406</v>
      </c>
      <c r="C23" s="197">
        <f t="shared" si="2"/>
        <v>361.0852172227402</v>
      </c>
    </row>
    <row r="24" spans="1:3" ht="14.25" thickBot="1">
      <c r="A24" s="191">
        <f t="shared" si="0"/>
        <v>2029</v>
      </c>
      <c r="B24" s="196">
        <f t="shared" si="1"/>
        <v>515.3265569252934</v>
      </c>
      <c r="C24" s="197">
        <f t="shared" si="2"/>
        <v>368.306921567195</v>
      </c>
    </row>
    <row r="25" spans="1:3" ht="14.25" thickBot="1">
      <c r="A25" s="191">
        <f t="shared" si="0"/>
        <v>2030</v>
      </c>
      <c r="B25" s="196">
        <f t="shared" si="1"/>
        <v>525.6330880637993</v>
      </c>
      <c r="C25" s="197">
        <f t="shared" si="2"/>
        <v>375.6730599985389</v>
      </c>
    </row>
    <row r="26" spans="1:3" ht="14.25" thickBot="1">
      <c r="A26" s="191">
        <f t="shared" si="0"/>
        <v>2031</v>
      </c>
      <c r="B26" s="196">
        <f t="shared" si="1"/>
        <v>536.1457498250753</v>
      </c>
      <c r="C26" s="197">
        <f t="shared" si="2"/>
        <v>383.1865211985097</v>
      </c>
    </row>
    <row r="27" spans="1:3" ht="14.25" thickBot="1">
      <c r="A27" s="191">
        <f t="shared" si="0"/>
        <v>2032</v>
      </c>
      <c r="B27" s="196">
        <f t="shared" si="1"/>
        <v>546.8686648215769</v>
      </c>
      <c r="C27" s="197">
        <f t="shared" si="2"/>
        <v>390.8502516224799</v>
      </c>
    </row>
    <row r="28" spans="1:3" ht="14.25" thickBot="1">
      <c r="A28" s="191">
        <f t="shared" si="0"/>
        <v>2033</v>
      </c>
      <c r="B28" s="196">
        <f t="shared" si="1"/>
        <v>557.8060381180085</v>
      </c>
      <c r="C28" s="197">
        <f t="shared" si="2"/>
        <v>398.66725665492953</v>
      </c>
    </row>
    <row r="29" spans="1:3" ht="14.25" thickBot="1">
      <c r="A29" s="191">
        <f t="shared" si="0"/>
        <v>2034</v>
      </c>
      <c r="B29" s="196">
        <f t="shared" si="1"/>
        <v>568.9621588803686</v>
      </c>
      <c r="C29" s="197">
        <f t="shared" si="2"/>
        <v>406.6406017880281</v>
      </c>
    </row>
    <row r="30" spans="1:3" ht="14.25" thickBot="1">
      <c r="A30" s="191">
        <f t="shared" si="0"/>
        <v>2035</v>
      </c>
      <c r="B30" s="196">
        <f t="shared" si="1"/>
        <v>580.341402057976</v>
      </c>
      <c r="C30" s="197">
        <f t="shared" si="2"/>
        <v>414.7734138237887</v>
      </c>
    </row>
    <row r="31" spans="1:3" ht="14.25" thickBot="1">
      <c r="A31" s="191">
        <f t="shared" si="0"/>
        <v>2036</v>
      </c>
      <c r="B31" s="196">
        <f t="shared" si="1"/>
        <v>591.9482300991355</v>
      </c>
      <c r="C31" s="197">
        <f t="shared" si="2"/>
        <v>423.0688821002645</v>
      </c>
    </row>
    <row r="32" spans="1:3" ht="14.25" thickBot="1">
      <c r="A32" s="191">
        <f t="shared" si="0"/>
        <v>2037</v>
      </c>
      <c r="B32" s="196">
        <f t="shared" si="1"/>
        <v>603.7871947011182</v>
      </c>
      <c r="C32" s="197">
        <f t="shared" si="2"/>
        <v>431.5302597422698</v>
      </c>
    </row>
    <row r="33" spans="1:3" ht="14.25" thickBot="1">
      <c r="A33" s="191">
        <f t="shared" si="0"/>
        <v>2038</v>
      </c>
      <c r="B33" s="196">
        <f t="shared" si="1"/>
        <v>615.8629385951406</v>
      </c>
      <c r="C33" s="197">
        <f t="shared" si="2"/>
        <v>440.1608649371152</v>
      </c>
    </row>
  </sheetData>
  <sheetProtection/>
  <mergeCells count="1">
    <mergeCell ref="A1:C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M36" sqref="M36"/>
    </sheetView>
  </sheetViews>
  <sheetFormatPr defaultColWidth="8.7109375" defaultRowHeight="12.75"/>
  <cols>
    <col min="1" max="1" width="18.28125" style="0" customWidth="1"/>
    <col min="2" max="2" width="37.7109375" style="0" customWidth="1"/>
    <col min="3" max="3" width="13.7109375" style="0" customWidth="1"/>
    <col min="4" max="4" width="11.00390625" style="0" customWidth="1"/>
    <col min="5" max="5" width="12.7109375" style="0" customWidth="1"/>
    <col min="6" max="6" width="10.421875" style="0" customWidth="1"/>
    <col min="7" max="7" width="12.421875" style="0" customWidth="1"/>
  </cols>
  <sheetData>
    <row r="1" spans="1:9" ht="15">
      <c r="A1" s="381" t="s">
        <v>223</v>
      </c>
      <c r="B1" s="381"/>
      <c r="C1" s="381"/>
      <c r="D1" s="381"/>
      <c r="E1" s="381"/>
      <c r="F1" s="381"/>
      <c r="G1" s="381"/>
      <c r="H1" s="381"/>
      <c r="I1" s="381"/>
    </row>
    <row r="2" spans="1:9" ht="13.5" thickBot="1">
      <c r="A2" s="382" t="s">
        <v>189</v>
      </c>
      <c r="B2" s="382"/>
      <c r="C2" s="382"/>
      <c r="D2" s="382"/>
      <c r="E2" s="382"/>
      <c r="F2" s="382"/>
      <c r="G2" s="382"/>
      <c r="H2" s="382"/>
      <c r="I2" s="382"/>
    </row>
    <row r="3" spans="1:9" ht="14.25" thickBot="1">
      <c r="A3" s="110"/>
      <c r="B3" s="111"/>
      <c r="C3" s="383" t="s">
        <v>190</v>
      </c>
      <c r="D3" s="384"/>
      <c r="E3" s="384"/>
      <c r="F3" s="384"/>
      <c r="G3" s="384"/>
      <c r="H3" s="385"/>
      <c r="I3" s="112"/>
    </row>
    <row r="4" spans="1:9" ht="61.5" thickTop="1">
      <c r="A4" s="386" t="s">
        <v>191</v>
      </c>
      <c r="B4" s="386" t="s">
        <v>192</v>
      </c>
      <c r="C4" s="113" t="s">
        <v>193</v>
      </c>
      <c r="D4" s="114" t="s">
        <v>194</v>
      </c>
      <c r="E4" s="115" t="s">
        <v>195</v>
      </c>
      <c r="F4" s="115" t="s">
        <v>196</v>
      </c>
      <c r="G4" s="114" t="s">
        <v>197</v>
      </c>
      <c r="H4" s="114" t="s">
        <v>198</v>
      </c>
      <c r="I4" s="387" t="s">
        <v>144</v>
      </c>
    </row>
    <row r="5" spans="1:9" ht="12">
      <c r="A5" s="386"/>
      <c r="B5" s="386"/>
      <c r="C5" s="113" t="s">
        <v>140</v>
      </c>
      <c r="D5" s="113" t="s">
        <v>140</v>
      </c>
      <c r="E5" s="113" t="s">
        <v>140</v>
      </c>
      <c r="F5" s="113" t="s">
        <v>140</v>
      </c>
      <c r="G5" s="113" t="s">
        <v>140</v>
      </c>
      <c r="H5" s="113" t="s">
        <v>140</v>
      </c>
      <c r="I5" s="387"/>
    </row>
    <row r="6" spans="1:9" ht="30" customHeight="1">
      <c r="A6" s="18" t="s">
        <v>199</v>
      </c>
      <c r="B6" s="18" t="s">
        <v>200</v>
      </c>
      <c r="C6" s="120">
        <v>4</v>
      </c>
      <c r="D6" s="120">
        <v>5</v>
      </c>
      <c r="E6" s="120">
        <v>1</v>
      </c>
      <c r="F6" s="120">
        <v>1</v>
      </c>
      <c r="G6" s="120"/>
      <c r="H6" s="120">
        <v>1</v>
      </c>
      <c r="I6" s="120">
        <f>SUM(C6:H6)</f>
        <v>12</v>
      </c>
    </row>
    <row r="7" spans="1:9" ht="31.5" customHeight="1">
      <c r="A7" s="117" t="s">
        <v>201</v>
      </c>
      <c r="B7" s="117" t="s">
        <v>202</v>
      </c>
      <c r="C7" s="121">
        <v>4</v>
      </c>
      <c r="D7" s="121">
        <v>4</v>
      </c>
      <c r="E7" s="121">
        <v>4</v>
      </c>
      <c r="F7" s="121">
        <v>5</v>
      </c>
      <c r="G7" s="121"/>
      <c r="H7" s="121">
        <v>4.5</v>
      </c>
      <c r="I7" s="120">
        <f>SUM(C7:H7)</f>
        <v>21.5</v>
      </c>
    </row>
    <row r="8" spans="1:9" ht="61.5">
      <c r="A8" s="18" t="s">
        <v>203</v>
      </c>
      <c r="B8" s="18" t="s">
        <v>204</v>
      </c>
      <c r="C8" s="120">
        <v>4</v>
      </c>
      <c r="D8" s="120">
        <v>4</v>
      </c>
      <c r="E8" s="120">
        <v>2</v>
      </c>
      <c r="F8" s="120">
        <v>3</v>
      </c>
      <c r="G8" s="120"/>
      <c r="H8" s="120">
        <v>3</v>
      </c>
      <c r="I8" s="120">
        <f>SUM(C8:H8)</f>
        <v>16</v>
      </c>
    </row>
    <row r="9" spans="1:9" ht="48.75">
      <c r="A9" s="117" t="s">
        <v>205</v>
      </c>
      <c r="B9" s="117" t="s">
        <v>206</v>
      </c>
      <c r="C9" s="121"/>
      <c r="D9" s="121"/>
      <c r="E9" s="121"/>
      <c r="F9" s="121"/>
      <c r="G9" s="121"/>
      <c r="H9" s="121"/>
      <c r="I9" s="120">
        <f>SUM(C9:H9)</f>
        <v>0</v>
      </c>
    </row>
    <row r="10" spans="1:9" ht="36.75">
      <c r="A10" s="18" t="s">
        <v>207</v>
      </c>
      <c r="B10" s="18" t="s">
        <v>208</v>
      </c>
      <c r="C10" s="120">
        <v>4</v>
      </c>
      <c r="D10" s="120">
        <v>5</v>
      </c>
      <c r="E10" s="120">
        <v>3</v>
      </c>
      <c r="F10" s="120">
        <v>3</v>
      </c>
      <c r="G10" s="120"/>
      <c r="H10" s="120">
        <v>4</v>
      </c>
      <c r="I10" s="120">
        <f>SUM(C10:H10)</f>
        <v>19</v>
      </c>
    </row>
  </sheetData>
  <sheetProtection/>
  <mergeCells count="6">
    <mergeCell ref="A1:I1"/>
    <mergeCell ref="A2:I2"/>
    <mergeCell ref="C3:H3"/>
    <mergeCell ref="A4:A5"/>
    <mergeCell ref="B4:B5"/>
    <mergeCell ref="I4:I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J26"/>
  <sheetViews>
    <sheetView zoomScale="75" zoomScaleNormal="75" zoomScalePageLayoutView="0" workbookViewId="0" topLeftCell="A1">
      <selection activeCell="K18" sqref="K18"/>
    </sheetView>
  </sheetViews>
  <sheetFormatPr defaultColWidth="8.7109375" defaultRowHeight="12.75"/>
  <cols>
    <col min="1" max="1" width="22.7109375" style="0" customWidth="1"/>
    <col min="2" max="2" width="27.7109375" style="0" customWidth="1"/>
    <col min="3" max="3" width="12.7109375" style="0" customWidth="1"/>
    <col min="4" max="4" width="9.7109375" style="0" customWidth="1"/>
    <col min="5" max="5" width="16.421875" style="0" customWidth="1"/>
    <col min="6" max="6" width="13.7109375" style="0" customWidth="1"/>
    <col min="7" max="7" width="12.00390625" style="0" customWidth="1"/>
    <col min="8" max="8" width="10.140625" style="0" customWidth="1"/>
    <col min="9" max="9" width="12.7109375" style="0" customWidth="1"/>
    <col min="10" max="10" width="7.421875" style="0" customWidth="1"/>
    <col min="11" max="11" width="15.00390625" style="0" customWidth="1"/>
  </cols>
  <sheetData>
    <row r="1" spans="1:10" ht="37.5" customHeight="1" thickBot="1">
      <c r="A1" s="388" t="s">
        <v>222</v>
      </c>
      <c r="B1" s="388"/>
      <c r="C1" s="388"/>
      <c r="D1" s="388"/>
      <c r="E1" s="388"/>
      <c r="F1" s="388"/>
      <c r="G1" s="388"/>
      <c r="H1" s="388"/>
      <c r="I1" s="388"/>
      <c r="J1" s="388"/>
    </row>
    <row r="2" spans="1:10" ht="18.75" customHeight="1">
      <c r="A2" s="389"/>
      <c r="B2" s="397"/>
      <c r="C2" s="400" t="s">
        <v>136</v>
      </c>
      <c r="D2" s="400"/>
      <c r="E2" s="400"/>
      <c r="F2" s="400"/>
      <c r="G2" s="400"/>
      <c r="H2" s="400"/>
      <c r="I2" s="400"/>
      <c r="J2" s="397"/>
    </row>
    <row r="3" spans="1:10" ht="18.75" customHeight="1" thickBot="1">
      <c r="A3" s="390"/>
      <c r="B3" s="398"/>
      <c r="C3" s="399" t="s">
        <v>137</v>
      </c>
      <c r="D3" s="399"/>
      <c r="E3" s="399"/>
      <c r="F3" s="399"/>
      <c r="G3" s="399"/>
      <c r="H3" s="399"/>
      <c r="I3" s="399"/>
      <c r="J3" s="398"/>
    </row>
    <row r="4" spans="1:10" ht="23.25" customHeight="1" thickBot="1">
      <c r="A4" s="97" t="s">
        <v>179</v>
      </c>
      <c r="B4" s="98" t="s">
        <v>53</v>
      </c>
      <c r="C4" s="99" t="s">
        <v>127</v>
      </c>
      <c r="D4" s="98" t="s">
        <v>128</v>
      </c>
      <c r="E4" s="98" t="s">
        <v>129</v>
      </c>
      <c r="F4" s="98" t="s">
        <v>130</v>
      </c>
      <c r="G4" s="98" t="s">
        <v>313</v>
      </c>
      <c r="H4" s="98" t="s">
        <v>314</v>
      </c>
      <c r="I4" s="98" t="s">
        <v>315</v>
      </c>
      <c r="J4" s="99" t="s">
        <v>316</v>
      </c>
    </row>
    <row r="5" spans="1:10" ht="66.75" customHeight="1">
      <c r="A5" s="395" t="s">
        <v>177</v>
      </c>
      <c r="B5" s="73" t="s">
        <v>138</v>
      </c>
      <c r="C5" s="74" t="s">
        <v>139</v>
      </c>
      <c r="D5" s="75" t="s">
        <v>141</v>
      </c>
      <c r="E5" s="75" t="s">
        <v>176</v>
      </c>
      <c r="F5" s="75" t="s">
        <v>317</v>
      </c>
      <c r="G5" s="75" t="s">
        <v>271</v>
      </c>
      <c r="H5" s="76" t="s">
        <v>142</v>
      </c>
      <c r="I5" s="75" t="s">
        <v>143</v>
      </c>
      <c r="J5" s="391" t="s">
        <v>144</v>
      </c>
    </row>
    <row r="6" spans="1:10" ht="14.25" thickBot="1">
      <c r="A6" s="396"/>
      <c r="B6" s="77" t="s">
        <v>178</v>
      </c>
      <c r="C6" s="78" t="s">
        <v>140</v>
      </c>
      <c r="D6" s="79" t="s">
        <v>140</v>
      </c>
      <c r="E6" s="79" t="s">
        <v>140</v>
      </c>
      <c r="F6" s="79" t="s">
        <v>140</v>
      </c>
      <c r="G6" s="79" t="s">
        <v>140</v>
      </c>
      <c r="H6" s="79" t="s">
        <v>140</v>
      </c>
      <c r="I6" s="79" t="s">
        <v>140</v>
      </c>
      <c r="J6" s="392"/>
    </row>
    <row r="7" spans="1:10" ht="18" customHeight="1">
      <c r="A7" s="393" t="s">
        <v>145</v>
      </c>
      <c r="B7" s="229" t="s">
        <v>146</v>
      </c>
      <c r="C7" s="238">
        <v>2</v>
      </c>
      <c r="D7" s="238">
        <v>2</v>
      </c>
      <c r="E7" s="238">
        <v>1</v>
      </c>
      <c r="F7" s="238">
        <v>3</v>
      </c>
      <c r="G7" s="238">
        <v>3</v>
      </c>
      <c r="H7" s="238">
        <v>3</v>
      </c>
      <c r="I7" s="238">
        <v>3</v>
      </c>
      <c r="J7" s="239">
        <f>SUM(C7:I7)</f>
        <v>17</v>
      </c>
    </row>
    <row r="8" spans="1:10" ht="13.5">
      <c r="A8" s="393"/>
      <c r="B8" s="229" t="s">
        <v>147</v>
      </c>
      <c r="C8" s="238">
        <v>3</v>
      </c>
      <c r="D8" s="238">
        <v>1</v>
      </c>
      <c r="E8" s="238">
        <v>1</v>
      </c>
      <c r="F8" s="238">
        <v>3</v>
      </c>
      <c r="G8" s="238">
        <v>3</v>
      </c>
      <c r="H8" s="238">
        <v>5</v>
      </c>
      <c r="I8" s="238">
        <v>5</v>
      </c>
      <c r="J8" s="239">
        <f aca="true" t="shared" si="0" ref="J8:J26">SUM(C8:I8)</f>
        <v>21</v>
      </c>
    </row>
    <row r="9" spans="1:10" ht="13.5">
      <c r="A9" s="393"/>
      <c r="B9" s="229" t="s">
        <v>148</v>
      </c>
      <c r="C9" s="238">
        <v>2</v>
      </c>
      <c r="D9" s="238">
        <v>1</v>
      </c>
      <c r="E9" s="238">
        <v>1</v>
      </c>
      <c r="F9" s="238">
        <v>3</v>
      </c>
      <c r="G9" s="238">
        <v>3</v>
      </c>
      <c r="H9" s="238">
        <v>3</v>
      </c>
      <c r="I9" s="238">
        <v>4</v>
      </c>
      <c r="J9" s="239">
        <f t="shared" si="0"/>
        <v>17</v>
      </c>
    </row>
    <row r="10" spans="1:10" ht="16.5" customHeight="1" thickBot="1">
      <c r="A10" s="394"/>
      <c r="B10" s="230"/>
      <c r="C10" s="240"/>
      <c r="D10" s="240"/>
      <c r="E10" s="240"/>
      <c r="F10" s="241"/>
      <c r="G10" s="240"/>
      <c r="H10" s="261" t="s">
        <v>174</v>
      </c>
      <c r="I10" s="241"/>
      <c r="J10" s="242"/>
    </row>
    <row r="11" spans="1:10" ht="63" customHeight="1" thickBot="1">
      <c r="A11" s="231" t="s">
        <v>149</v>
      </c>
      <c r="B11" s="199" t="s">
        <v>150</v>
      </c>
      <c r="C11" s="243">
        <v>4</v>
      </c>
      <c r="D11" s="243">
        <v>5</v>
      </c>
      <c r="E11" s="243">
        <v>4</v>
      </c>
      <c r="F11" s="243">
        <v>3</v>
      </c>
      <c r="G11" s="243">
        <v>3</v>
      </c>
      <c r="H11" s="243">
        <v>2</v>
      </c>
      <c r="I11" s="244">
        <v>2</v>
      </c>
      <c r="J11" s="245">
        <f t="shared" si="0"/>
        <v>23</v>
      </c>
    </row>
    <row r="12" spans="1:10" ht="48.75" customHeight="1" thickBot="1">
      <c r="A12" s="232" t="s">
        <v>151</v>
      </c>
      <c r="B12" s="229" t="s">
        <v>152</v>
      </c>
      <c r="C12" s="239"/>
      <c r="D12" s="239"/>
      <c r="E12" s="239"/>
      <c r="F12" s="239"/>
      <c r="G12" s="239"/>
      <c r="H12" s="239"/>
      <c r="I12" s="246"/>
      <c r="J12" s="247">
        <f t="shared" si="0"/>
        <v>0</v>
      </c>
    </row>
    <row r="13" spans="1:10" ht="28.5" customHeight="1">
      <c r="A13" s="233" t="s">
        <v>153</v>
      </c>
      <c r="B13" s="233" t="s">
        <v>154</v>
      </c>
      <c r="C13" s="248">
        <v>3</v>
      </c>
      <c r="D13" s="249">
        <v>1.5</v>
      </c>
      <c r="E13" s="249">
        <v>1</v>
      </c>
      <c r="F13" s="249">
        <v>2</v>
      </c>
      <c r="G13" s="249">
        <v>2</v>
      </c>
      <c r="H13" s="249">
        <v>5</v>
      </c>
      <c r="I13" s="249">
        <v>4</v>
      </c>
      <c r="J13" s="250">
        <f t="shared" si="0"/>
        <v>18.5</v>
      </c>
    </row>
    <row r="14" spans="1:10" ht="45.75" customHeight="1" thickBot="1">
      <c r="A14" s="234"/>
      <c r="B14" s="234"/>
      <c r="C14" s="251"/>
      <c r="D14" s="252"/>
      <c r="E14" s="252"/>
      <c r="F14" s="252"/>
      <c r="G14" s="262" t="s">
        <v>175</v>
      </c>
      <c r="H14" s="252"/>
      <c r="I14" s="252"/>
      <c r="J14" s="253"/>
    </row>
    <row r="15" spans="1:10" ht="107.25" customHeight="1" thickBot="1">
      <c r="A15" s="232" t="s">
        <v>155</v>
      </c>
      <c r="B15" s="43" t="s">
        <v>156</v>
      </c>
      <c r="C15" s="254">
        <v>4</v>
      </c>
      <c r="D15" s="254">
        <v>5</v>
      </c>
      <c r="E15" s="254">
        <v>4</v>
      </c>
      <c r="F15" s="254">
        <v>4</v>
      </c>
      <c r="G15" s="254">
        <v>1</v>
      </c>
      <c r="H15" s="254">
        <v>5</v>
      </c>
      <c r="I15" s="254">
        <v>5</v>
      </c>
      <c r="J15" s="255">
        <f t="shared" si="0"/>
        <v>28</v>
      </c>
    </row>
    <row r="16" spans="1:10" ht="55.5" thickBot="1">
      <c r="A16" s="235" t="s">
        <v>157</v>
      </c>
      <c r="B16" s="236" t="s">
        <v>158</v>
      </c>
      <c r="C16" s="245"/>
      <c r="D16" s="245"/>
      <c r="E16" s="245"/>
      <c r="F16" s="245"/>
      <c r="G16" s="245"/>
      <c r="H16" s="245"/>
      <c r="I16" s="245"/>
      <c r="J16" s="256">
        <f t="shared" si="0"/>
        <v>0</v>
      </c>
    </row>
    <row r="17" spans="1:10" ht="41.25" thickBot="1">
      <c r="A17" s="237" t="s">
        <v>159</v>
      </c>
      <c r="B17" s="230" t="s">
        <v>160</v>
      </c>
      <c r="C17" s="241">
        <v>3</v>
      </c>
      <c r="D17" s="241">
        <v>1</v>
      </c>
      <c r="E17" s="241">
        <v>1</v>
      </c>
      <c r="F17" s="241">
        <v>1</v>
      </c>
      <c r="G17" s="241">
        <v>2</v>
      </c>
      <c r="H17" s="241">
        <v>1</v>
      </c>
      <c r="I17" s="241">
        <v>1</v>
      </c>
      <c r="J17" s="257">
        <f t="shared" si="0"/>
        <v>10</v>
      </c>
    </row>
    <row r="18" spans="1:10" ht="41.25" thickBot="1">
      <c r="A18" s="231" t="s">
        <v>161</v>
      </c>
      <c r="B18" s="199" t="s">
        <v>162</v>
      </c>
      <c r="C18" s="243">
        <v>3</v>
      </c>
      <c r="D18" s="243">
        <v>5</v>
      </c>
      <c r="E18" s="243">
        <v>2</v>
      </c>
      <c r="F18" s="243">
        <v>2</v>
      </c>
      <c r="G18" s="243">
        <v>3</v>
      </c>
      <c r="H18" s="243">
        <v>3</v>
      </c>
      <c r="I18" s="243">
        <v>2</v>
      </c>
      <c r="J18" s="256">
        <f t="shared" si="0"/>
        <v>20</v>
      </c>
    </row>
    <row r="19" spans="1:10" ht="27.75" thickBot="1">
      <c r="A19" s="237" t="s">
        <v>163</v>
      </c>
      <c r="B19" s="230" t="s">
        <v>164</v>
      </c>
      <c r="C19" s="241">
        <v>5</v>
      </c>
      <c r="D19" s="241">
        <v>2</v>
      </c>
      <c r="E19" s="241">
        <v>2</v>
      </c>
      <c r="F19" s="241">
        <v>4</v>
      </c>
      <c r="G19" s="241">
        <v>0</v>
      </c>
      <c r="H19" s="241">
        <v>5</v>
      </c>
      <c r="I19" s="241">
        <v>4</v>
      </c>
      <c r="J19" s="257">
        <f t="shared" si="0"/>
        <v>22</v>
      </c>
    </row>
    <row r="20" spans="1:10" ht="55.5" thickBot="1">
      <c r="A20" s="231" t="s">
        <v>165</v>
      </c>
      <c r="B20" s="116"/>
      <c r="C20" s="243">
        <v>5</v>
      </c>
      <c r="D20" s="243">
        <v>4</v>
      </c>
      <c r="E20" s="243">
        <v>5</v>
      </c>
      <c r="F20" s="243">
        <v>5</v>
      </c>
      <c r="G20" s="243">
        <v>0</v>
      </c>
      <c r="H20" s="243">
        <v>5</v>
      </c>
      <c r="I20" s="243">
        <v>2</v>
      </c>
      <c r="J20" s="256">
        <f t="shared" si="0"/>
        <v>26</v>
      </c>
    </row>
    <row r="21" spans="1:10" ht="14.25" thickBot="1">
      <c r="A21" s="237" t="s">
        <v>166</v>
      </c>
      <c r="B21" s="28"/>
      <c r="C21" s="242"/>
      <c r="D21" s="242"/>
      <c r="E21" s="242"/>
      <c r="F21" s="242"/>
      <c r="G21" s="242"/>
      <c r="H21" s="242"/>
      <c r="I21" s="242"/>
      <c r="J21" s="257">
        <f t="shared" si="0"/>
        <v>0</v>
      </c>
    </row>
    <row r="22" spans="1:10" ht="14.25" thickBot="1">
      <c r="A22" s="231" t="s">
        <v>167</v>
      </c>
      <c r="B22" s="116"/>
      <c r="C22" s="258"/>
      <c r="D22" s="258"/>
      <c r="E22" s="258"/>
      <c r="F22" s="258"/>
      <c r="G22" s="258"/>
      <c r="H22" s="258"/>
      <c r="I22" s="258"/>
      <c r="J22" s="256">
        <f t="shared" si="0"/>
        <v>0</v>
      </c>
    </row>
    <row r="23" spans="1:10" ht="27.75" thickBot="1">
      <c r="A23" s="237" t="s">
        <v>168</v>
      </c>
      <c r="B23" s="28"/>
      <c r="C23" s="242"/>
      <c r="D23" s="242"/>
      <c r="E23" s="242"/>
      <c r="F23" s="242"/>
      <c r="G23" s="242"/>
      <c r="H23" s="242"/>
      <c r="I23" s="242"/>
      <c r="J23" s="259">
        <f t="shared" si="0"/>
        <v>0</v>
      </c>
    </row>
    <row r="24" spans="1:10" ht="75.75" customHeight="1" thickBot="1">
      <c r="A24" s="235" t="s">
        <v>169</v>
      </c>
      <c r="B24" s="235" t="s">
        <v>170</v>
      </c>
      <c r="C24" s="244">
        <v>4</v>
      </c>
      <c r="D24" s="244">
        <v>5</v>
      </c>
      <c r="E24" s="244">
        <v>4</v>
      </c>
      <c r="F24" s="244">
        <v>3</v>
      </c>
      <c r="G24" s="244">
        <v>3</v>
      </c>
      <c r="H24" s="244">
        <v>3</v>
      </c>
      <c r="I24" s="244">
        <v>3</v>
      </c>
      <c r="J24" s="256">
        <f t="shared" si="0"/>
        <v>25</v>
      </c>
    </row>
    <row r="25" spans="1:10" ht="93" customHeight="1" thickBot="1">
      <c r="A25" s="237" t="s">
        <v>171</v>
      </c>
      <c r="B25" s="28"/>
      <c r="C25" s="241">
        <v>3</v>
      </c>
      <c r="D25" s="241">
        <v>4</v>
      </c>
      <c r="E25" s="241">
        <v>5</v>
      </c>
      <c r="F25" s="241">
        <v>5</v>
      </c>
      <c r="G25" s="241">
        <v>2</v>
      </c>
      <c r="H25" s="241">
        <v>2</v>
      </c>
      <c r="I25" s="241">
        <v>2</v>
      </c>
      <c r="J25" s="260">
        <f t="shared" si="0"/>
        <v>23</v>
      </c>
    </row>
    <row r="26" spans="1:10" ht="65.25" customHeight="1" thickBot="1">
      <c r="A26" s="231" t="s">
        <v>172</v>
      </c>
      <c r="B26" s="199" t="s">
        <v>173</v>
      </c>
      <c r="C26" s="243"/>
      <c r="D26" s="243"/>
      <c r="E26" s="243"/>
      <c r="F26" s="243"/>
      <c r="G26" s="243"/>
      <c r="H26" s="243"/>
      <c r="I26" s="243"/>
      <c r="J26" s="256">
        <f t="shared" si="0"/>
        <v>0</v>
      </c>
    </row>
  </sheetData>
  <sheetProtection/>
  <mergeCells count="9">
    <mergeCell ref="A1:J1"/>
    <mergeCell ref="A2:A3"/>
    <mergeCell ref="J5:J6"/>
    <mergeCell ref="A7:A10"/>
    <mergeCell ref="A5:A6"/>
    <mergeCell ref="J2:J3"/>
    <mergeCell ref="C3:I3"/>
    <mergeCell ref="C2:I2"/>
    <mergeCell ref="B2:B3"/>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9.140625" defaultRowHeight="12.75"/>
  <cols>
    <col min="1" max="1" width="56.28125" style="0" customWidth="1"/>
  </cols>
  <sheetData>
    <row r="1" ht="17.25" thickBot="1">
      <c r="A1" s="447" t="s">
        <v>224</v>
      </c>
    </row>
    <row r="2" spans="1:5" ht="23.25" thickBot="1">
      <c r="A2" s="409" t="s">
        <v>40</v>
      </c>
      <c r="B2" s="410" t="s">
        <v>41</v>
      </c>
      <c r="C2" s="411" t="s">
        <v>42</v>
      </c>
      <c r="D2" s="410" t="s">
        <v>43</v>
      </c>
      <c r="E2" s="411" t="s">
        <v>321</v>
      </c>
    </row>
    <row r="3" spans="1:5" ht="12" thickBot="1">
      <c r="A3" s="412" t="s">
        <v>47</v>
      </c>
      <c r="B3" s="413"/>
      <c r="C3" s="413"/>
      <c r="D3" s="413"/>
      <c r="E3" s="414"/>
    </row>
    <row r="4" spans="1:5" ht="23.25" thickBot="1">
      <c r="A4" s="415" t="s">
        <v>322</v>
      </c>
      <c r="B4" s="416">
        <v>18</v>
      </c>
      <c r="C4" s="417" t="s">
        <v>48</v>
      </c>
      <c r="D4" s="418">
        <v>624</v>
      </c>
      <c r="E4" s="419">
        <f>B4*D4</f>
        <v>11232</v>
      </c>
    </row>
    <row r="5" spans="1:5" ht="12" thickBot="1">
      <c r="A5" s="420" t="s">
        <v>323</v>
      </c>
      <c r="B5" s="416">
        <v>18</v>
      </c>
      <c r="C5" s="417" t="s">
        <v>48</v>
      </c>
      <c r="D5" s="418">
        <v>208</v>
      </c>
      <c r="E5" s="419">
        <f>B5*D5</f>
        <v>3744</v>
      </c>
    </row>
    <row r="6" spans="1:5" ht="23.25" thickBot="1">
      <c r="A6" s="420" t="s">
        <v>324</v>
      </c>
      <c r="B6" s="416">
        <v>16</v>
      </c>
      <c r="C6" s="417" t="s">
        <v>48</v>
      </c>
      <c r="D6" s="418">
        <v>664</v>
      </c>
      <c r="E6" s="419">
        <f>B6*D6</f>
        <v>10624</v>
      </c>
    </row>
    <row r="7" spans="1:5" ht="35.25" thickBot="1">
      <c r="A7" s="415" t="s">
        <v>325</v>
      </c>
      <c r="B7" s="416">
        <v>23</v>
      </c>
      <c r="C7" s="417" t="s">
        <v>48</v>
      </c>
      <c r="D7" s="418">
        <v>352</v>
      </c>
      <c r="E7" s="419">
        <f>B7*D7</f>
        <v>8096</v>
      </c>
    </row>
    <row r="8" spans="1:5" ht="12" thickBot="1">
      <c r="A8" s="421" t="s">
        <v>326</v>
      </c>
      <c r="B8" s="422"/>
      <c r="C8" s="423"/>
      <c r="D8" s="424"/>
      <c r="E8" s="425">
        <f>SUM(E4:E7)</f>
        <v>33696</v>
      </c>
    </row>
    <row r="9" spans="1:5" ht="12" thickBot="1">
      <c r="A9" s="426" t="s">
        <v>327</v>
      </c>
      <c r="B9" s="427">
        <v>0.23</v>
      </c>
      <c r="C9" s="428"/>
      <c r="D9" s="429"/>
      <c r="E9" s="430">
        <f>B9*E8</f>
        <v>7750.08</v>
      </c>
    </row>
    <row r="10" spans="1:5" ht="12" thickBot="1">
      <c r="A10" s="412" t="s">
        <v>50</v>
      </c>
      <c r="B10" s="431"/>
      <c r="C10" s="413"/>
      <c r="D10" s="431"/>
      <c r="E10" s="432"/>
    </row>
    <row r="11" spans="1:5" ht="12" thickBot="1">
      <c r="A11" s="420" t="s">
        <v>328</v>
      </c>
      <c r="B11" s="416">
        <v>2112</v>
      </c>
      <c r="C11" s="433" t="s">
        <v>329</v>
      </c>
      <c r="D11" s="418">
        <v>1</v>
      </c>
      <c r="E11" s="419">
        <f>B11*D11</f>
        <v>2112</v>
      </c>
    </row>
    <row r="12" spans="1:5" ht="12" thickBot="1">
      <c r="A12" s="434" t="s">
        <v>330</v>
      </c>
      <c r="B12" s="416">
        <v>2112</v>
      </c>
      <c r="C12" s="433"/>
      <c r="D12" s="418">
        <v>3</v>
      </c>
      <c r="E12" s="419">
        <f>B12*D12</f>
        <v>6336</v>
      </c>
    </row>
    <row r="13" spans="1:5" ht="12" thickBot="1">
      <c r="A13" s="421" t="s">
        <v>331</v>
      </c>
      <c r="B13" s="422"/>
      <c r="C13" s="423"/>
      <c r="D13" s="424"/>
      <c r="E13" s="425">
        <f>SUM(E11:E12)</f>
        <v>8448</v>
      </c>
    </row>
    <row r="14" spans="1:5" ht="12" thickBot="1">
      <c r="A14" s="412" t="s">
        <v>68</v>
      </c>
      <c r="B14" s="431"/>
      <c r="C14" s="413"/>
      <c r="D14" s="431"/>
      <c r="E14" s="432"/>
    </row>
    <row r="15" spans="1:5" ht="12" thickBot="1">
      <c r="A15" s="415" t="s">
        <v>332</v>
      </c>
      <c r="B15" s="416">
        <v>240</v>
      </c>
      <c r="C15" s="417" t="s">
        <v>49</v>
      </c>
      <c r="D15" s="418">
        <v>1</v>
      </c>
      <c r="E15" s="419">
        <f>B15*D15</f>
        <v>240</v>
      </c>
    </row>
    <row r="16" spans="1:5" ht="12" thickBot="1">
      <c r="A16" s="415" t="s">
        <v>333</v>
      </c>
      <c r="B16" s="416">
        <v>523</v>
      </c>
      <c r="C16" s="417" t="s">
        <v>49</v>
      </c>
      <c r="D16" s="418">
        <v>1</v>
      </c>
      <c r="E16" s="419">
        <f>B16*D16</f>
        <v>523</v>
      </c>
    </row>
    <row r="17" spans="1:5" ht="12" thickBot="1">
      <c r="A17" s="420" t="s">
        <v>334</v>
      </c>
      <c r="B17" s="416">
        <v>800</v>
      </c>
      <c r="C17" s="433" t="s">
        <v>49</v>
      </c>
      <c r="D17" s="418">
        <v>1</v>
      </c>
      <c r="E17" s="419">
        <f>B17*D17</f>
        <v>800</v>
      </c>
    </row>
    <row r="18" spans="1:5" ht="12" thickBot="1">
      <c r="A18" s="421" t="s">
        <v>335</v>
      </c>
      <c r="B18" s="422"/>
      <c r="C18" s="423"/>
      <c r="D18" s="422"/>
      <c r="E18" s="425">
        <f>SUM(E15:E17)</f>
        <v>1563</v>
      </c>
    </row>
    <row r="19" spans="1:5" ht="12" thickBot="1">
      <c r="A19" s="412" t="s">
        <v>336</v>
      </c>
      <c r="B19" s="431"/>
      <c r="C19" s="413"/>
      <c r="D19" s="431"/>
      <c r="E19" s="432"/>
    </row>
    <row r="20" spans="1:5" ht="12" thickBot="1">
      <c r="A20" s="435" t="s">
        <v>337</v>
      </c>
      <c r="B20" s="418"/>
      <c r="C20" s="417"/>
      <c r="D20" s="436"/>
      <c r="E20" s="437"/>
    </row>
    <row r="21" spans="1:5" ht="12" thickBot="1">
      <c r="A21" s="434" t="s">
        <v>338</v>
      </c>
      <c r="B21" s="416">
        <v>6</v>
      </c>
      <c r="C21" s="433" t="s">
        <v>51</v>
      </c>
      <c r="D21" s="418">
        <v>198</v>
      </c>
      <c r="E21" s="419">
        <f>B21*D21</f>
        <v>1188</v>
      </c>
    </row>
    <row r="22" spans="1:5" ht="12" thickBot="1">
      <c r="A22" s="435" t="s">
        <v>339</v>
      </c>
      <c r="B22" s="418"/>
      <c r="C22" s="417"/>
      <c r="D22" s="436"/>
      <c r="E22" s="419"/>
    </row>
    <row r="23" spans="1:5" ht="12" thickBot="1">
      <c r="A23" s="434" t="s">
        <v>340</v>
      </c>
      <c r="B23" s="416">
        <v>393</v>
      </c>
      <c r="C23" s="433" t="s">
        <v>341</v>
      </c>
      <c r="D23" s="418">
        <v>1</v>
      </c>
      <c r="E23" s="419">
        <f>B23*D23</f>
        <v>393</v>
      </c>
    </row>
    <row r="24" spans="1:5" ht="12" thickBot="1">
      <c r="A24" s="420" t="s">
        <v>342</v>
      </c>
      <c r="B24" s="416">
        <v>1225</v>
      </c>
      <c r="C24" s="433" t="s">
        <v>341</v>
      </c>
      <c r="D24" s="418">
        <v>1</v>
      </c>
      <c r="E24" s="419">
        <f>B24*D24</f>
        <v>1225</v>
      </c>
    </row>
    <row r="25" spans="1:5" ht="12" thickBot="1">
      <c r="A25" s="421" t="s">
        <v>343</v>
      </c>
      <c r="B25" s="422"/>
      <c r="C25" s="423"/>
      <c r="D25" s="424"/>
      <c r="E25" s="425">
        <f>SUM(E21:E24)</f>
        <v>2806</v>
      </c>
    </row>
    <row r="26" spans="1:5" ht="12" thickBot="1">
      <c r="A26" s="412" t="s">
        <v>344</v>
      </c>
      <c r="B26" s="431"/>
      <c r="C26" s="413"/>
      <c r="D26" s="431"/>
      <c r="E26" s="432"/>
    </row>
    <row r="27" spans="1:5" ht="12" thickBot="1">
      <c r="A27" s="435" t="s">
        <v>345</v>
      </c>
      <c r="B27" s="418"/>
      <c r="C27" s="417"/>
      <c r="D27" s="436"/>
      <c r="E27" s="437"/>
    </row>
    <row r="28" spans="1:5" ht="12" thickBot="1">
      <c r="A28" s="415" t="s">
        <v>346</v>
      </c>
      <c r="B28" s="416">
        <v>100</v>
      </c>
      <c r="C28" s="417" t="s">
        <v>347</v>
      </c>
      <c r="D28" s="418">
        <v>12</v>
      </c>
      <c r="E28" s="419">
        <f>B28*D28</f>
        <v>1200</v>
      </c>
    </row>
    <row r="29" spans="1:5" ht="12" thickBot="1">
      <c r="A29" s="415" t="s">
        <v>348</v>
      </c>
      <c r="B29" s="416">
        <v>75</v>
      </c>
      <c r="C29" s="417" t="s">
        <v>347</v>
      </c>
      <c r="D29" s="418">
        <v>12</v>
      </c>
      <c r="E29" s="419">
        <f>B29*D29</f>
        <v>900</v>
      </c>
    </row>
    <row r="30" spans="1:5" ht="12" thickBot="1">
      <c r="A30" s="421" t="s">
        <v>349</v>
      </c>
      <c r="B30" s="422"/>
      <c r="C30" s="423"/>
      <c r="D30" s="424"/>
      <c r="E30" s="425">
        <f>SUM(E28:E29)</f>
        <v>2100</v>
      </c>
    </row>
    <row r="31" spans="1:5" ht="12" thickBot="1">
      <c r="A31" s="415" t="s">
        <v>350</v>
      </c>
      <c r="B31" s="416">
        <v>3660</v>
      </c>
      <c r="C31" s="417" t="s">
        <v>351</v>
      </c>
      <c r="D31" s="418">
        <v>1</v>
      </c>
      <c r="E31" s="419">
        <f>B31*D31</f>
        <v>3660</v>
      </c>
    </row>
    <row r="32" spans="1:5" ht="12" thickBot="1">
      <c r="A32" s="438" t="s">
        <v>352</v>
      </c>
      <c r="B32" s="439">
        <v>0</v>
      </c>
      <c r="C32" s="417" t="s">
        <v>351</v>
      </c>
      <c r="D32" s="418">
        <v>1</v>
      </c>
      <c r="E32" s="419">
        <f>B32*D32</f>
        <v>0</v>
      </c>
    </row>
    <row r="33" spans="1:5" ht="12" thickBot="1">
      <c r="A33" s="421" t="s">
        <v>353</v>
      </c>
      <c r="B33" s="422"/>
      <c r="C33" s="423"/>
      <c r="D33" s="424"/>
      <c r="E33" s="425">
        <f>SUM(E31:E32)</f>
        <v>3660</v>
      </c>
    </row>
    <row r="34" spans="1:5" ht="12" thickBot="1">
      <c r="A34" s="412" t="s">
        <v>354</v>
      </c>
      <c r="B34" s="431"/>
      <c r="C34" s="413"/>
      <c r="D34" s="431"/>
      <c r="E34" s="432"/>
    </row>
    <row r="35" spans="1:5" ht="12" thickBot="1">
      <c r="A35" s="415" t="s">
        <v>355</v>
      </c>
      <c r="B35" s="416">
        <v>1250</v>
      </c>
      <c r="C35" s="417" t="s">
        <v>351</v>
      </c>
      <c r="D35" s="418">
        <v>1</v>
      </c>
      <c r="E35" s="419">
        <f>B35*D35</f>
        <v>1250</v>
      </c>
    </row>
    <row r="36" spans="1:5" ht="12" thickBot="1">
      <c r="A36" s="442" t="s">
        <v>356</v>
      </c>
      <c r="B36" s="443"/>
      <c r="C36" s="444"/>
      <c r="D36" s="445"/>
      <c r="E36" s="446">
        <f>SUM(E35)</f>
        <v>1250</v>
      </c>
    </row>
    <row r="37" spans="1:5" ht="12" thickBot="1">
      <c r="A37" s="412" t="s">
        <v>357</v>
      </c>
      <c r="B37" s="431"/>
      <c r="C37" s="413"/>
      <c r="D37" s="431"/>
      <c r="E37" s="432"/>
    </row>
    <row r="38" spans="1:5" ht="12" thickBot="1">
      <c r="A38" s="415" t="s">
        <v>358</v>
      </c>
      <c r="B38" s="416">
        <v>1500</v>
      </c>
      <c r="C38" s="417" t="s">
        <v>351</v>
      </c>
      <c r="D38" s="418">
        <v>1</v>
      </c>
      <c r="E38" s="419">
        <f>B38*D38</f>
        <v>1500</v>
      </c>
    </row>
    <row r="39" spans="1:5" ht="12" thickBot="1">
      <c r="A39" s="421" t="s">
        <v>359</v>
      </c>
      <c r="B39" s="423"/>
      <c r="C39" s="423"/>
      <c r="D39" s="424"/>
      <c r="E39" s="425">
        <f>SUM(E38)</f>
        <v>1500</v>
      </c>
    </row>
    <row r="40" spans="1:5" ht="12" thickBot="1">
      <c r="A40" s="412" t="s">
        <v>360</v>
      </c>
      <c r="B40" s="440"/>
      <c r="C40" s="440"/>
      <c r="D40" s="413"/>
      <c r="E40" s="441">
        <f>E8+E9+E13+E18+E25+E30+E33+E36+E39</f>
        <v>62773.08</v>
      </c>
    </row>
  </sheetData>
  <sheetProtection/>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C20"/>
  <sheetViews>
    <sheetView zoomScalePageLayoutView="0" workbookViewId="0" topLeftCell="A7">
      <selection activeCell="F16" sqref="F16"/>
    </sheetView>
  </sheetViews>
  <sheetFormatPr defaultColWidth="8.7109375" defaultRowHeight="12.75"/>
  <cols>
    <col min="1" max="1" width="52.00390625" style="0" customWidth="1"/>
    <col min="2" max="2" width="18.421875" style="0" customWidth="1"/>
    <col min="3" max="3" width="22.00390625" style="0" customWidth="1"/>
  </cols>
  <sheetData>
    <row r="1" spans="1:3" ht="41.25" customHeight="1" thickBot="1">
      <c r="A1" s="316" t="s">
        <v>296</v>
      </c>
      <c r="B1" s="316"/>
      <c r="C1" s="406"/>
    </row>
    <row r="2" spans="1:3" ht="21" customHeight="1" thickBot="1">
      <c r="A2" s="101" t="s">
        <v>14</v>
      </c>
      <c r="B2" s="101" t="s">
        <v>53</v>
      </c>
      <c r="C2" s="100" t="s">
        <v>54</v>
      </c>
    </row>
    <row r="3" spans="1:3" ht="47.25" customHeight="1" thickBot="1">
      <c r="A3" s="32" t="s">
        <v>40</v>
      </c>
      <c r="B3" s="102" t="s">
        <v>70</v>
      </c>
      <c r="C3" s="72" t="s">
        <v>103</v>
      </c>
    </row>
    <row r="4" spans="1:3" ht="21" customHeight="1" thickBot="1">
      <c r="A4" s="25" t="s">
        <v>87</v>
      </c>
      <c r="B4" s="35">
        <v>14400</v>
      </c>
      <c r="C4" s="94" t="s">
        <v>97</v>
      </c>
    </row>
    <row r="5" spans="1:3" ht="36" customHeight="1" thickBot="1">
      <c r="A5" s="25" t="s">
        <v>88</v>
      </c>
      <c r="B5" s="34">
        <v>2400</v>
      </c>
      <c r="C5" s="94" t="s">
        <v>98</v>
      </c>
    </row>
    <row r="6" spans="1:3" ht="23.25" customHeight="1" thickBot="1">
      <c r="A6" s="25" t="s">
        <v>72</v>
      </c>
      <c r="B6" s="34">
        <v>1200</v>
      </c>
      <c r="C6" s="94" t="s">
        <v>99</v>
      </c>
    </row>
    <row r="7" spans="1:3" ht="23.25" customHeight="1" thickBot="1">
      <c r="A7" s="33" t="s">
        <v>89</v>
      </c>
      <c r="B7" s="35">
        <v>1260</v>
      </c>
      <c r="C7" s="37" t="s">
        <v>90</v>
      </c>
    </row>
    <row r="8" spans="1:3" ht="17.25" customHeight="1">
      <c r="A8" s="42" t="s">
        <v>91</v>
      </c>
      <c r="B8" s="408">
        <v>5500</v>
      </c>
      <c r="C8" s="42"/>
    </row>
    <row r="9" spans="1:3" ht="33" customHeight="1" thickBot="1">
      <c r="A9" s="93" t="s">
        <v>76</v>
      </c>
      <c r="B9" s="408"/>
      <c r="C9" s="93"/>
    </row>
    <row r="10" spans="1:3" ht="13.5" customHeight="1">
      <c r="A10" s="30" t="s">
        <v>100</v>
      </c>
      <c r="B10" s="401">
        <v>5000</v>
      </c>
      <c r="C10" s="22"/>
    </row>
    <row r="11" spans="1:3" ht="34.5" customHeight="1" thickBot="1">
      <c r="A11" s="29" t="s">
        <v>101</v>
      </c>
      <c r="B11" s="407"/>
      <c r="C11" s="25"/>
    </row>
    <row r="12" spans="1:3" ht="45" customHeight="1">
      <c r="A12" s="42" t="s">
        <v>92</v>
      </c>
      <c r="B12" s="408">
        <v>2000</v>
      </c>
      <c r="C12" s="42"/>
    </row>
    <row r="13" spans="1:3" ht="60.75" customHeight="1" thickBot="1">
      <c r="A13" s="27" t="s">
        <v>80</v>
      </c>
      <c r="B13" s="402"/>
      <c r="C13" s="27"/>
    </row>
    <row r="14" spans="1:3" ht="30.75" customHeight="1">
      <c r="A14" s="42" t="s">
        <v>93</v>
      </c>
      <c r="B14" s="401">
        <v>5400</v>
      </c>
      <c r="C14" s="42"/>
    </row>
    <row r="15" spans="1:3" ht="147.75" customHeight="1" thickBot="1">
      <c r="A15" s="27" t="s">
        <v>94</v>
      </c>
      <c r="B15" s="402"/>
      <c r="C15" s="27"/>
    </row>
    <row r="16" spans="1:3" ht="15" customHeight="1">
      <c r="A16" s="42" t="s">
        <v>83</v>
      </c>
      <c r="B16" s="401">
        <v>500</v>
      </c>
      <c r="C16" s="42"/>
    </row>
    <row r="17" spans="1:3" ht="83.25" customHeight="1" thickBot="1">
      <c r="A17" s="27" t="s">
        <v>84</v>
      </c>
      <c r="B17" s="402"/>
      <c r="C17" s="27"/>
    </row>
    <row r="18" spans="1:3" ht="13.5" thickBot="1">
      <c r="A18" s="43" t="s">
        <v>95</v>
      </c>
      <c r="B18" s="36">
        <v>0</v>
      </c>
      <c r="C18" s="31"/>
    </row>
    <row r="19" spans="1:3" ht="14.25" thickBot="1">
      <c r="A19" s="95" t="s">
        <v>102</v>
      </c>
      <c r="B19" s="96">
        <f>SUM(B4:B18)</f>
        <v>37660</v>
      </c>
      <c r="C19" s="31"/>
    </row>
    <row r="20" spans="1:3" ht="75" customHeight="1" thickBot="1">
      <c r="A20" s="403" t="s">
        <v>183</v>
      </c>
      <c r="B20" s="404"/>
      <c r="C20" s="405"/>
    </row>
  </sheetData>
  <sheetProtection/>
  <mergeCells count="7">
    <mergeCell ref="B14:B15"/>
    <mergeCell ref="B16:B17"/>
    <mergeCell ref="A20:C20"/>
    <mergeCell ref="A1:C1"/>
    <mergeCell ref="B10:B11"/>
    <mergeCell ref="B8:B9"/>
    <mergeCell ref="B12:B1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9.140625" defaultRowHeight="12.75"/>
  <cols>
    <col min="1" max="1" width="56.28125" style="0" customWidth="1"/>
  </cols>
  <sheetData>
    <row r="1" ht="17.25" thickBot="1">
      <c r="A1" s="447" t="s">
        <v>361</v>
      </c>
    </row>
    <row r="2" spans="1:5" ht="23.25" thickBot="1">
      <c r="A2" s="409" t="s">
        <v>40</v>
      </c>
      <c r="B2" s="410" t="s">
        <v>41</v>
      </c>
      <c r="C2" s="411" t="s">
        <v>42</v>
      </c>
      <c r="D2" s="410" t="s">
        <v>43</v>
      </c>
      <c r="E2" s="411" t="s">
        <v>321</v>
      </c>
    </row>
    <row r="3" spans="1:5" ht="12" thickBot="1">
      <c r="A3" s="412" t="s">
        <v>47</v>
      </c>
      <c r="B3" s="413"/>
      <c r="C3" s="413"/>
      <c r="D3" s="413"/>
      <c r="E3" s="414"/>
    </row>
    <row r="4" spans="1:5" ht="23.25" thickBot="1">
      <c r="A4" s="415" t="s">
        <v>322</v>
      </c>
      <c r="B4" s="416">
        <v>18</v>
      </c>
      <c r="C4" s="417" t="s">
        <v>48</v>
      </c>
      <c r="D4" s="418">
        <v>624</v>
      </c>
      <c r="E4" s="419">
        <f>B4*D4</f>
        <v>11232</v>
      </c>
    </row>
    <row r="5" spans="1:5" ht="12" thickBot="1">
      <c r="A5" s="420" t="s">
        <v>323</v>
      </c>
      <c r="B5" s="416">
        <v>18</v>
      </c>
      <c r="C5" s="417" t="s">
        <v>48</v>
      </c>
      <c r="D5" s="418">
        <v>208</v>
      </c>
      <c r="E5" s="419">
        <f>B5*D5</f>
        <v>3744</v>
      </c>
    </row>
    <row r="6" spans="1:5" ht="23.25" thickBot="1">
      <c r="A6" s="420" t="s">
        <v>324</v>
      </c>
      <c r="B6" s="416">
        <v>16</v>
      </c>
      <c r="C6" s="417" t="s">
        <v>48</v>
      </c>
      <c r="D6" s="418">
        <v>664</v>
      </c>
      <c r="E6" s="419">
        <f>B6*D6</f>
        <v>10624</v>
      </c>
    </row>
    <row r="7" spans="1:5" ht="35.25" thickBot="1">
      <c r="A7" s="415" t="s">
        <v>325</v>
      </c>
      <c r="B7" s="416">
        <v>23</v>
      </c>
      <c r="C7" s="417" t="s">
        <v>48</v>
      </c>
      <c r="D7" s="418">
        <v>352</v>
      </c>
      <c r="E7" s="419">
        <f>B7*D7</f>
        <v>8096</v>
      </c>
    </row>
    <row r="8" spans="1:5" ht="12" thickBot="1">
      <c r="A8" s="421" t="s">
        <v>326</v>
      </c>
      <c r="B8" s="422"/>
      <c r="C8" s="423"/>
      <c r="D8" s="424"/>
      <c r="E8" s="425">
        <f>SUM(E4:E7)</f>
        <v>33696</v>
      </c>
    </row>
    <row r="9" spans="1:5" ht="12" thickBot="1">
      <c r="A9" s="426" t="s">
        <v>327</v>
      </c>
      <c r="B9" s="427">
        <v>0.23</v>
      </c>
      <c r="C9" s="428"/>
      <c r="D9" s="429"/>
      <c r="E9" s="430">
        <f>B9*E8</f>
        <v>7750.08</v>
      </c>
    </row>
    <row r="10" spans="1:5" ht="12" thickBot="1">
      <c r="A10" s="412" t="s">
        <v>50</v>
      </c>
      <c r="B10" s="431"/>
      <c r="C10" s="413"/>
      <c r="D10" s="431"/>
      <c r="E10" s="432"/>
    </row>
    <row r="11" spans="1:5" ht="12" thickBot="1">
      <c r="A11" s="420" t="s">
        <v>328</v>
      </c>
      <c r="B11" s="416">
        <v>2112</v>
      </c>
      <c r="C11" s="433" t="s">
        <v>329</v>
      </c>
      <c r="D11" s="418">
        <v>1</v>
      </c>
      <c r="E11" s="419">
        <f>B11*D11</f>
        <v>2112</v>
      </c>
    </row>
    <row r="12" spans="1:5" ht="12" thickBot="1">
      <c r="A12" s="434" t="s">
        <v>330</v>
      </c>
      <c r="B12" s="416">
        <v>2112</v>
      </c>
      <c r="C12" s="433"/>
      <c r="D12" s="418">
        <v>3</v>
      </c>
      <c r="E12" s="419">
        <f>B12*D12</f>
        <v>6336</v>
      </c>
    </row>
    <row r="13" spans="1:5" ht="12" thickBot="1">
      <c r="A13" s="421" t="s">
        <v>331</v>
      </c>
      <c r="B13" s="422"/>
      <c r="C13" s="423"/>
      <c r="D13" s="424"/>
      <c r="E13" s="425">
        <f>SUM(E11:E12)</f>
        <v>8448</v>
      </c>
    </row>
    <row r="14" spans="1:5" ht="12" thickBot="1">
      <c r="A14" s="412" t="s">
        <v>68</v>
      </c>
      <c r="B14" s="431"/>
      <c r="C14" s="413"/>
      <c r="D14" s="431"/>
      <c r="E14" s="432"/>
    </row>
    <row r="15" spans="1:5" ht="12" thickBot="1">
      <c r="A15" s="415" t="s">
        <v>332</v>
      </c>
      <c r="B15" s="416">
        <v>240</v>
      </c>
      <c r="C15" s="417" t="s">
        <v>49</v>
      </c>
      <c r="D15" s="418">
        <v>1</v>
      </c>
      <c r="E15" s="419">
        <f>B15*D15</f>
        <v>240</v>
      </c>
    </row>
    <row r="16" spans="1:5" ht="12" thickBot="1">
      <c r="A16" s="415" t="s">
        <v>333</v>
      </c>
      <c r="B16" s="416">
        <v>523</v>
      </c>
      <c r="C16" s="417" t="s">
        <v>49</v>
      </c>
      <c r="D16" s="418">
        <v>1</v>
      </c>
      <c r="E16" s="419">
        <f>B16*D16</f>
        <v>523</v>
      </c>
    </row>
    <row r="17" spans="1:5" ht="12" thickBot="1">
      <c r="A17" s="420" t="s">
        <v>334</v>
      </c>
      <c r="B17" s="416">
        <v>800</v>
      </c>
      <c r="C17" s="433" t="s">
        <v>49</v>
      </c>
      <c r="D17" s="418">
        <v>1</v>
      </c>
      <c r="E17" s="419">
        <f>B17*D17</f>
        <v>800</v>
      </c>
    </row>
    <row r="18" spans="1:5" ht="12" thickBot="1">
      <c r="A18" s="421" t="s">
        <v>335</v>
      </c>
      <c r="B18" s="422"/>
      <c r="C18" s="423"/>
      <c r="D18" s="422"/>
      <c r="E18" s="425">
        <f>SUM(E15:E17)</f>
        <v>1563</v>
      </c>
    </row>
    <row r="19" spans="1:5" ht="12" thickBot="1">
      <c r="A19" s="412" t="s">
        <v>336</v>
      </c>
      <c r="B19" s="431"/>
      <c r="C19" s="413"/>
      <c r="D19" s="431"/>
      <c r="E19" s="432"/>
    </row>
    <row r="20" spans="1:5" ht="12" thickBot="1">
      <c r="A20" s="435" t="s">
        <v>337</v>
      </c>
      <c r="B20" s="418"/>
      <c r="C20" s="417"/>
      <c r="D20" s="436"/>
      <c r="E20" s="437"/>
    </row>
    <row r="21" spans="1:5" ht="12" thickBot="1">
      <c r="A21" s="434" t="s">
        <v>338</v>
      </c>
      <c r="B21" s="416">
        <v>6</v>
      </c>
      <c r="C21" s="433" t="s">
        <v>51</v>
      </c>
      <c r="D21" s="418">
        <v>198</v>
      </c>
      <c r="E21" s="419">
        <f>B21*D21</f>
        <v>1188</v>
      </c>
    </row>
    <row r="22" spans="1:5" ht="12" thickBot="1">
      <c r="A22" s="435" t="s">
        <v>339</v>
      </c>
      <c r="B22" s="418"/>
      <c r="C22" s="417"/>
      <c r="D22" s="436"/>
      <c r="E22" s="419"/>
    </row>
    <row r="23" spans="1:5" ht="12" thickBot="1">
      <c r="A23" s="434" t="s">
        <v>340</v>
      </c>
      <c r="B23" s="416">
        <v>393</v>
      </c>
      <c r="C23" s="433" t="s">
        <v>341</v>
      </c>
      <c r="D23" s="418">
        <v>1</v>
      </c>
      <c r="E23" s="419">
        <f>B23*D23</f>
        <v>393</v>
      </c>
    </row>
    <row r="24" spans="1:5" ht="12" thickBot="1">
      <c r="A24" s="420" t="s">
        <v>342</v>
      </c>
      <c r="B24" s="416">
        <v>1225</v>
      </c>
      <c r="C24" s="433" t="s">
        <v>341</v>
      </c>
      <c r="D24" s="418">
        <v>1</v>
      </c>
      <c r="E24" s="419">
        <f>B24*D24</f>
        <v>1225</v>
      </c>
    </row>
    <row r="25" spans="1:5" ht="12" thickBot="1">
      <c r="A25" s="421" t="s">
        <v>343</v>
      </c>
      <c r="B25" s="422"/>
      <c r="C25" s="423"/>
      <c r="D25" s="424"/>
      <c r="E25" s="425">
        <f>SUM(E21:E24)</f>
        <v>2806</v>
      </c>
    </row>
    <row r="26" spans="1:5" ht="12" thickBot="1">
      <c r="A26" s="412" t="s">
        <v>344</v>
      </c>
      <c r="B26" s="431"/>
      <c r="C26" s="413"/>
      <c r="D26" s="431"/>
      <c r="E26" s="432"/>
    </row>
    <row r="27" spans="1:5" ht="12" thickBot="1">
      <c r="A27" s="435" t="s">
        <v>345</v>
      </c>
      <c r="B27" s="418"/>
      <c r="C27" s="417"/>
      <c r="D27" s="436"/>
      <c r="E27" s="437"/>
    </row>
    <row r="28" spans="1:5" ht="12" thickBot="1">
      <c r="A28" s="415" t="s">
        <v>346</v>
      </c>
      <c r="B28" s="416">
        <v>100</v>
      </c>
      <c r="C28" s="417" t="s">
        <v>347</v>
      </c>
      <c r="D28" s="418">
        <v>12</v>
      </c>
      <c r="E28" s="419">
        <f>B28*D28</f>
        <v>1200</v>
      </c>
    </row>
    <row r="29" spans="1:5" ht="12" thickBot="1">
      <c r="A29" s="415" t="s">
        <v>348</v>
      </c>
      <c r="B29" s="416">
        <v>75</v>
      </c>
      <c r="C29" s="417" t="s">
        <v>347</v>
      </c>
      <c r="D29" s="418">
        <v>12</v>
      </c>
      <c r="E29" s="419">
        <f>B29*D29</f>
        <v>900</v>
      </c>
    </row>
    <row r="30" spans="1:5" ht="12" thickBot="1">
      <c r="A30" s="421" t="s">
        <v>349</v>
      </c>
      <c r="B30" s="422"/>
      <c r="C30" s="423"/>
      <c r="D30" s="424"/>
      <c r="E30" s="425">
        <f>SUM(E28:E29)</f>
        <v>2100</v>
      </c>
    </row>
    <row r="31" spans="1:5" ht="12" thickBot="1">
      <c r="A31" s="415" t="s">
        <v>350</v>
      </c>
      <c r="B31" s="416">
        <v>3660</v>
      </c>
      <c r="C31" s="417" t="s">
        <v>351</v>
      </c>
      <c r="D31" s="418">
        <v>1</v>
      </c>
      <c r="E31" s="419">
        <f>B31*D31</f>
        <v>3660</v>
      </c>
    </row>
    <row r="32" spans="1:5" ht="12" thickBot="1">
      <c r="A32" s="438" t="s">
        <v>352</v>
      </c>
      <c r="B32" s="439">
        <v>0</v>
      </c>
      <c r="C32" s="417" t="s">
        <v>351</v>
      </c>
      <c r="D32" s="418">
        <v>1</v>
      </c>
      <c r="E32" s="419">
        <f>B32*D32</f>
        <v>0</v>
      </c>
    </row>
    <row r="33" spans="1:5" ht="12" thickBot="1">
      <c r="A33" s="421" t="s">
        <v>353</v>
      </c>
      <c r="B33" s="422"/>
      <c r="C33" s="423"/>
      <c r="D33" s="424"/>
      <c r="E33" s="425">
        <f>SUM(E31:E32)</f>
        <v>3660</v>
      </c>
    </row>
    <row r="34" spans="1:5" ht="12" thickBot="1">
      <c r="A34" s="412" t="s">
        <v>354</v>
      </c>
      <c r="B34" s="431"/>
      <c r="C34" s="413"/>
      <c r="D34" s="431"/>
      <c r="E34" s="432"/>
    </row>
    <row r="35" spans="1:5" ht="12" thickBot="1">
      <c r="A35" s="415" t="s">
        <v>355</v>
      </c>
      <c r="B35" s="416">
        <v>1250</v>
      </c>
      <c r="C35" s="417" t="s">
        <v>351</v>
      </c>
      <c r="D35" s="418">
        <v>1</v>
      </c>
      <c r="E35" s="419">
        <f>B35*D35</f>
        <v>1250</v>
      </c>
    </row>
    <row r="36" spans="1:5" ht="12" thickBot="1">
      <c r="A36" s="442" t="s">
        <v>356</v>
      </c>
      <c r="B36" s="443"/>
      <c r="C36" s="444"/>
      <c r="D36" s="445"/>
      <c r="E36" s="446">
        <f>SUM(E35)</f>
        <v>1250</v>
      </c>
    </row>
    <row r="37" spans="1:5" ht="12" thickBot="1">
      <c r="A37" s="412" t="s">
        <v>357</v>
      </c>
      <c r="B37" s="431"/>
      <c r="C37" s="413"/>
      <c r="D37" s="431"/>
      <c r="E37" s="432"/>
    </row>
    <row r="38" spans="1:5" ht="12" thickBot="1">
      <c r="A38" s="415" t="s">
        <v>358</v>
      </c>
      <c r="B38" s="416">
        <v>1500</v>
      </c>
      <c r="C38" s="417" t="s">
        <v>351</v>
      </c>
      <c r="D38" s="418">
        <v>1</v>
      </c>
      <c r="E38" s="419">
        <f>B38*D38</f>
        <v>1500</v>
      </c>
    </row>
    <row r="39" spans="1:5" ht="12" thickBot="1">
      <c r="A39" s="421" t="s">
        <v>359</v>
      </c>
      <c r="B39" s="423"/>
      <c r="C39" s="423"/>
      <c r="D39" s="424"/>
      <c r="E39" s="425">
        <f>SUM(E38)</f>
        <v>1500</v>
      </c>
    </row>
    <row r="40" spans="1:5" ht="12" thickBot="1">
      <c r="A40" s="412" t="s">
        <v>360</v>
      </c>
      <c r="B40" s="440"/>
      <c r="C40" s="440"/>
      <c r="D40" s="413"/>
      <c r="E40" s="441">
        <f>E8+E9+E13+E18+E25+E30+E33+E36+E39</f>
        <v>62773.08</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B1"/>
    </sheetView>
  </sheetViews>
  <sheetFormatPr defaultColWidth="8.7109375" defaultRowHeight="12.75"/>
  <cols>
    <col min="1" max="1" width="79.00390625" style="0" customWidth="1"/>
    <col min="2" max="2" width="14.00390625" style="0" customWidth="1"/>
    <col min="3" max="3" width="18.421875" style="0" customWidth="1"/>
  </cols>
  <sheetData>
    <row r="1" spans="1:14" ht="64.5" customHeight="1">
      <c r="A1" s="317" t="s">
        <v>69</v>
      </c>
      <c r="B1" s="317"/>
      <c r="N1">
        <v>0</v>
      </c>
    </row>
    <row r="2" spans="1:3" ht="16.5" customHeight="1">
      <c r="A2" s="174" t="s">
        <v>14</v>
      </c>
      <c r="B2" s="174" t="s">
        <v>53</v>
      </c>
      <c r="C2" s="175" t="s">
        <v>54</v>
      </c>
    </row>
    <row r="3" spans="1:3" ht="42">
      <c r="A3" s="176" t="s">
        <v>40</v>
      </c>
      <c r="B3" s="177" t="s">
        <v>70</v>
      </c>
      <c r="C3" s="178" t="s">
        <v>104</v>
      </c>
    </row>
    <row r="4" spans="1:3" ht="55.5" customHeight="1">
      <c r="A4" s="119" t="s">
        <v>96</v>
      </c>
      <c r="B4" s="118">
        <f>60*12*10</f>
        <v>7200</v>
      </c>
      <c r="C4" s="179" t="s">
        <v>105</v>
      </c>
    </row>
    <row r="5" spans="1:3" ht="24.75" customHeight="1">
      <c r="A5" s="119" t="s">
        <v>71</v>
      </c>
      <c r="B5" s="118">
        <f>4*35*12</f>
        <v>1680</v>
      </c>
      <c r="C5" s="179" t="s">
        <v>106</v>
      </c>
    </row>
    <row r="6" spans="1:3" ht="25.5" customHeight="1">
      <c r="A6" s="119" t="s">
        <v>72</v>
      </c>
      <c r="B6" s="118">
        <f>100*12</f>
        <v>1200</v>
      </c>
      <c r="C6" s="179" t="s">
        <v>107</v>
      </c>
    </row>
    <row r="7" spans="1:3" ht="27.75" customHeight="1">
      <c r="A7" s="119" t="s">
        <v>73</v>
      </c>
      <c r="B7" s="118">
        <f>25*12*3</f>
        <v>900</v>
      </c>
      <c r="C7" s="179" t="s">
        <v>74</v>
      </c>
    </row>
    <row r="8" spans="1:3" ht="21" customHeight="1">
      <c r="A8" s="119" t="s">
        <v>75</v>
      </c>
      <c r="B8" s="318">
        <v>3502</v>
      </c>
      <c r="C8" s="319"/>
    </row>
    <row r="9" spans="1:3" ht="33" customHeight="1">
      <c r="A9" s="180" t="s">
        <v>76</v>
      </c>
      <c r="B9" s="318"/>
      <c r="C9" s="320"/>
    </row>
    <row r="10" spans="1:3" ht="49.5" customHeight="1">
      <c r="A10" s="119" t="s">
        <v>77</v>
      </c>
      <c r="B10" s="118">
        <v>2000</v>
      </c>
      <c r="C10" s="119"/>
    </row>
    <row r="11" spans="1:3" ht="41.25" customHeight="1">
      <c r="A11" s="119" t="s">
        <v>78</v>
      </c>
      <c r="B11" s="118">
        <v>2000</v>
      </c>
      <c r="C11" s="119"/>
    </row>
    <row r="12" spans="1:3" ht="24.75" customHeight="1">
      <c r="A12" s="119" t="s">
        <v>79</v>
      </c>
      <c r="B12" s="318">
        <v>0</v>
      </c>
      <c r="C12" s="319"/>
    </row>
    <row r="13" spans="1:3" ht="60.75" customHeight="1">
      <c r="A13" s="180" t="s">
        <v>80</v>
      </c>
      <c r="B13" s="318"/>
      <c r="C13" s="320"/>
    </row>
    <row r="14" spans="1:3" ht="19.5" customHeight="1">
      <c r="A14" s="119" t="s">
        <v>81</v>
      </c>
      <c r="B14" s="318">
        <v>1700</v>
      </c>
      <c r="C14" s="319"/>
    </row>
    <row r="15" spans="1:3" ht="49.5" customHeight="1">
      <c r="A15" s="180" t="s">
        <v>82</v>
      </c>
      <c r="B15" s="318"/>
      <c r="C15" s="320"/>
    </row>
    <row r="16" spans="1:3" ht="19.5" customHeight="1">
      <c r="A16" s="119" t="s">
        <v>83</v>
      </c>
      <c r="B16" s="318">
        <v>500</v>
      </c>
      <c r="C16" s="319"/>
    </row>
    <row r="17" spans="1:3" ht="71.25" customHeight="1">
      <c r="A17" s="180" t="s">
        <v>84</v>
      </c>
      <c r="B17" s="318"/>
      <c r="C17" s="320"/>
    </row>
    <row r="18" spans="1:3" ht="27" customHeight="1">
      <c r="A18" s="119" t="s">
        <v>85</v>
      </c>
      <c r="B18" s="118">
        <v>0</v>
      </c>
      <c r="C18" s="119"/>
    </row>
    <row r="19" spans="1:3" ht="29.25" customHeight="1" thickBot="1">
      <c r="A19" s="26" t="s">
        <v>86</v>
      </c>
      <c r="B19" s="71">
        <f>SUM(B4:B17)</f>
        <v>20682</v>
      </c>
      <c r="C19" s="24"/>
    </row>
    <row r="20" ht="12" thickTop="1"/>
  </sheetData>
  <sheetProtection/>
  <mergeCells count="9">
    <mergeCell ref="A1:B1"/>
    <mergeCell ref="B8:B9"/>
    <mergeCell ref="B12:B13"/>
    <mergeCell ref="B14:B15"/>
    <mergeCell ref="B16:B17"/>
    <mergeCell ref="C8:C9"/>
    <mergeCell ref="C12:C13"/>
    <mergeCell ref="C14:C15"/>
    <mergeCell ref="C16:C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A23" sqref="A23:A24"/>
    </sheetView>
  </sheetViews>
  <sheetFormatPr defaultColWidth="8.7109375" defaultRowHeight="12.75"/>
  <cols>
    <col min="1" max="1" width="28.7109375" style="0" customWidth="1"/>
    <col min="2" max="2" width="24.28125" style="0" customWidth="1"/>
    <col min="3" max="3" width="22.421875" style="21" customWidth="1"/>
    <col min="4" max="4" width="23.421875" style="21" customWidth="1"/>
  </cols>
  <sheetData>
    <row r="1" spans="1:4" ht="15">
      <c r="A1" s="7" t="s">
        <v>46</v>
      </c>
      <c r="B1" s="8"/>
      <c r="C1" s="9"/>
      <c r="D1" s="9"/>
    </row>
    <row r="2" spans="1:4" ht="12">
      <c r="A2" s="103" t="s">
        <v>14</v>
      </c>
      <c r="B2" s="103" t="s">
        <v>53</v>
      </c>
      <c r="C2" s="10" t="s">
        <v>54</v>
      </c>
      <c r="D2" s="10" t="s">
        <v>56</v>
      </c>
    </row>
    <row r="3" spans="1:4" ht="48.75">
      <c r="A3" s="11" t="s">
        <v>23</v>
      </c>
      <c r="B3" s="11" t="s">
        <v>24</v>
      </c>
      <c r="C3" s="12" t="s">
        <v>65</v>
      </c>
      <c r="D3" s="13" t="s">
        <v>25</v>
      </c>
    </row>
    <row r="4" spans="1:4" ht="12">
      <c r="A4" s="11"/>
      <c r="B4" s="268" t="s">
        <v>279</v>
      </c>
      <c r="C4" s="12"/>
      <c r="D4" s="13"/>
    </row>
    <row r="5" spans="1:4" ht="16.5" customHeight="1">
      <c r="A5" s="14" t="s">
        <v>26</v>
      </c>
      <c r="B5" s="15">
        <v>0</v>
      </c>
      <c r="C5" s="16">
        <v>40</v>
      </c>
      <c r="D5" s="17">
        <f>SUM(B5*C5)</f>
        <v>0</v>
      </c>
    </row>
    <row r="6" spans="1:4" ht="12">
      <c r="A6" s="14" t="s">
        <v>27</v>
      </c>
      <c r="B6" s="15">
        <v>0</v>
      </c>
      <c r="C6" s="16">
        <v>12</v>
      </c>
      <c r="D6" s="17">
        <f>SUM(B6*C6)</f>
        <v>0</v>
      </c>
    </row>
    <row r="7" spans="1:4" ht="12.75" customHeight="1">
      <c r="A7" s="14" t="s">
        <v>28</v>
      </c>
      <c r="B7" s="15">
        <v>0</v>
      </c>
      <c r="C7" s="16">
        <v>12</v>
      </c>
      <c r="D7" s="17">
        <f>SUM(B7*C7)</f>
        <v>0</v>
      </c>
    </row>
    <row r="8" spans="1:4" ht="24">
      <c r="A8" s="14" t="s">
        <v>29</v>
      </c>
      <c r="B8" s="15">
        <v>0</v>
      </c>
      <c r="C8" s="16">
        <v>40</v>
      </c>
      <c r="D8" s="17">
        <f>SUM(B8*C8)</f>
        <v>0</v>
      </c>
    </row>
    <row r="9" spans="1:4" ht="12">
      <c r="A9" s="14" t="s">
        <v>5</v>
      </c>
      <c r="B9" s="15">
        <v>0</v>
      </c>
      <c r="C9" s="16">
        <v>1000</v>
      </c>
      <c r="D9" s="17">
        <f>SUM(B9*C9)</f>
        <v>0</v>
      </c>
    </row>
    <row r="10" spans="1:4" ht="12">
      <c r="A10" s="14" t="s">
        <v>30</v>
      </c>
      <c r="B10" s="15">
        <v>0</v>
      </c>
      <c r="C10" s="16">
        <v>2000</v>
      </c>
      <c r="D10" s="17">
        <f aca="true" t="shared" si="0" ref="D10:D26">SUM(B10*C10)</f>
        <v>0</v>
      </c>
    </row>
    <row r="11" spans="1:4" ht="12">
      <c r="A11" s="14" t="s">
        <v>7</v>
      </c>
      <c r="B11" s="15">
        <v>0</v>
      </c>
      <c r="C11" s="16">
        <v>800</v>
      </c>
      <c r="D11" s="17">
        <f t="shared" si="0"/>
        <v>0</v>
      </c>
    </row>
    <row r="12" spans="1:4" ht="12">
      <c r="A12" s="14" t="s">
        <v>8</v>
      </c>
      <c r="B12" s="15">
        <v>0</v>
      </c>
      <c r="C12" s="16">
        <v>1000</v>
      </c>
      <c r="D12" s="17">
        <f t="shared" si="0"/>
        <v>0</v>
      </c>
    </row>
    <row r="13" spans="1:4" ht="12">
      <c r="A13" s="14" t="s">
        <v>9</v>
      </c>
      <c r="B13" s="15">
        <v>0</v>
      </c>
      <c r="C13" s="16">
        <v>2000</v>
      </c>
      <c r="D13" s="17">
        <f t="shared" si="0"/>
        <v>0</v>
      </c>
    </row>
    <row r="14" spans="1:4" ht="12">
      <c r="A14" s="14" t="s">
        <v>10</v>
      </c>
      <c r="B14" s="15">
        <v>0</v>
      </c>
      <c r="C14" s="16">
        <v>10000</v>
      </c>
      <c r="D14" s="17">
        <f t="shared" si="0"/>
        <v>0</v>
      </c>
    </row>
    <row r="15" spans="1:4" ht="12">
      <c r="A15" s="14" t="s">
        <v>31</v>
      </c>
      <c r="B15" s="15">
        <v>0</v>
      </c>
      <c r="C15" s="16">
        <v>250</v>
      </c>
      <c r="D15" s="17">
        <f t="shared" si="0"/>
        <v>0</v>
      </c>
    </row>
    <row r="16" spans="1:4" ht="12">
      <c r="A16" s="14" t="s">
        <v>32</v>
      </c>
      <c r="B16" s="15">
        <v>0</v>
      </c>
      <c r="C16" s="16">
        <v>200</v>
      </c>
      <c r="D16" s="17">
        <f t="shared" si="0"/>
        <v>0</v>
      </c>
    </row>
    <row r="17" spans="1:4" ht="24">
      <c r="A17" s="304" t="s">
        <v>33</v>
      </c>
      <c r="B17" s="305">
        <v>0</v>
      </c>
      <c r="C17" s="306">
        <v>0.7</v>
      </c>
      <c r="D17" s="307">
        <f t="shared" si="0"/>
        <v>0</v>
      </c>
    </row>
    <row r="18" spans="1:4" ht="12">
      <c r="A18" s="312" t="s">
        <v>308</v>
      </c>
      <c r="B18" s="305">
        <v>0</v>
      </c>
      <c r="C18" s="313">
        <v>30</v>
      </c>
      <c r="D18" s="17">
        <f t="shared" si="0"/>
        <v>0</v>
      </c>
    </row>
    <row r="19" spans="1:4" ht="12">
      <c r="A19" s="312" t="s">
        <v>307</v>
      </c>
      <c r="B19" s="305">
        <v>0</v>
      </c>
      <c r="C19" s="313">
        <v>20</v>
      </c>
      <c r="D19" s="17">
        <f t="shared" si="0"/>
        <v>0</v>
      </c>
    </row>
    <row r="20" spans="1:4" ht="12">
      <c r="A20" s="312" t="s">
        <v>309</v>
      </c>
      <c r="B20" s="305">
        <v>0</v>
      </c>
      <c r="C20" s="313">
        <v>7</v>
      </c>
      <c r="D20" s="17">
        <f t="shared" si="0"/>
        <v>0</v>
      </c>
    </row>
    <row r="21" spans="1:4" ht="12">
      <c r="A21" s="312" t="s">
        <v>310</v>
      </c>
      <c r="B21" s="305">
        <v>0</v>
      </c>
      <c r="C21" s="313">
        <v>50</v>
      </c>
      <c r="D21" s="17">
        <f t="shared" si="0"/>
        <v>0</v>
      </c>
    </row>
    <row r="22" spans="1:4" ht="12">
      <c r="A22" s="308" t="s">
        <v>34</v>
      </c>
      <c r="B22" s="309">
        <v>0</v>
      </c>
      <c r="C22" s="310">
        <v>50</v>
      </c>
      <c r="D22" s="311">
        <f t="shared" si="0"/>
        <v>0</v>
      </c>
    </row>
    <row r="23" spans="1:4" ht="12">
      <c r="A23" s="14" t="s">
        <v>35</v>
      </c>
      <c r="B23" s="15">
        <v>0</v>
      </c>
      <c r="C23" s="16">
        <v>600</v>
      </c>
      <c r="D23" s="17">
        <f t="shared" si="0"/>
        <v>0</v>
      </c>
    </row>
    <row r="24" spans="1:4" ht="24">
      <c r="A24" s="14" t="s">
        <v>36</v>
      </c>
      <c r="B24" s="15">
        <v>0</v>
      </c>
      <c r="C24" s="16">
        <v>600</v>
      </c>
      <c r="D24" s="17">
        <f t="shared" si="0"/>
        <v>0</v>
      </c>
    </row>
    <row r="25" spans="1:4" ht="24">
      <c r="A25" s="18" t="s">
        <v>37</v>
      </c>
      <c r="B25" s="15">
        <v>0</v>
      </c>
      <c r="C25" s="16">
        <v>600</v>
      </c>
      <c r="D25" s="17">
        <f t="shared" si="0"/>
        <v>0</v>
      </c>
    </row>
    <row r="26" spans="1:4" ht="12">
      <c r="A26" s="18" t="s">
        <v>38</v>
      </c>
      <c r="B26" s="15">
        <v>0</v>
      </c>
      <c r="C26" s="16"/>
      <c r="D26" s="17">
        <f t="shared" si="0"/>
        <v>0</v>
      </c>
    </row>
    <row r="27" spans="1:4" ht="12">
      <c r="A27" s="19" t="s">
        <v>39</v>
      </c>
      <c r="B27" s="15">
        <v>0</v>
      </c>
      <c r="C27" s="20"/>
      <c r="D27" s="20">
        <f>SUM(D5:D26)</f>
        <v>0</v>
      </c>
    </row>
    <row r="31" ht="15">
      <c r="A31" s="302" t="s">
        <v>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9"/>
  <sheetViews>
    <sheetView zoomScalePageLayoutView="0" workbookViewId="0" topLeftCell="A1">
      <selection activeCell="A29" sqref="A29:IV30"/>
    </sheetView>
  </sheetViews>
  <sheetFormatPr defaultColWidth="8.7109375" defaultRowHeight="12.75"/>
  <cols>
    <col min="1" max="1" width="12.7109375" style="0" customWidth="1"/>
    <col min="2" max="2" width="11.7109375" style="0" customWidth="1"/>
    <col min="3" max="3" width="10.7109375" style="0" customWidth="1"/>
    <col min="4" max="4" width="10.28125" style="0" customWidth="1"/>
    <col min="5" max="5" width="10.00390625" style="54" customWidth="1"/>
    <col min="6" max="6" width="10.7109375" style="0" customWidth="1"/>
    <col min="7" max="7" width="11.28125" style="0" customWidth="1"/>
    <col min="8" max="8" width="10.28125" style="0" customWidth="1"/>
    <col min="9" max="10" width="9.7109375" style="23" customWidth="1"/>
    <col min="11" max="11" width="10.00390625" style="0" customWidth="1"/>
    <col min="12" max="12" width="10.140625" style="23" customWidth="1"/>
  </cols>
  <sheetData>
    <row r="1" spans="1:12" ht="26.25" customHeight="1" thickBot="1">
      <c r="A1" s="317" t="s">
        <v>272</v>
      </c>
      <c r="B1" s="317"/>
      <c r="C1" s="317"/>
      <c r="D1" s="317"/>
      <c r="E1" s="317"/>
      <c r="F1" s="317"/>
      <c r="G1" s="317"/>
      <c r="H1" s="317"/>
      <c r="I1" s="317"/>
      <c r="J1" s="317"/>
      <c r="K1" s="317"/>
      <c r="L1" s="317"/>
    </row>
    <row r="2" spans="1:12" ht="13.5" thickBot="1">
      <c r="A2" s="105" t="s">
        <v>179</v>
      </c>
      <c r="B2" s="106" t="s">
        <v>53</v>
      </c>
      <c r="C2" s="105" t="s">
        <v>54</v>
      </c>
      <c r="D2" s="106" t="s">
        <v>56</v>
      </c>
      <c r="E2" s="201" t="s">
        <v>58</v>
      </c>
      <c r="F2" s="106" t="s">
        <v>60</v>
      </c>
      <c r="G2" s="107" t="s">
        <v>62</v>
      </c>
      <c r="H2" s="107" t="s">
        <v>64</v>
      </c>
      <c r="I2" s="108" t="s">
        <v>66</v>
      </c>
      <c r="J2" s="109" t="s">
        <v>67</v>
      </c>
      <c r="K2" s="106" t="s">
        <v>3</v>
      </c>
      <c r="L2" s="109" t="s">
        <v>19</v>
      </c>
    </row>
    <row r="3" spans="1:12" ht="140.25">
      <c r="A3" s="104" t="s">
        <v>110</v>
      </c>
      <c r="B3" s="38" t="s">
        <v>52</v>
      </c>
      <c r="C3" s="5" t="s">
        <v>294</v>
      </c>
      <c r="D3" s="38" t="s">
        <v>55</v>
      </c>
      <c r="E3" s="202" t="s">
        <v>57</v>
      </c>
      <c r="F3" s="38" t="s">
        <v>59</v>
      </c>
      <c r="G3" s="39" t="s">
        <v>61</v>
      </c>
      <c r="H3" s="39" t="s">
        <v>63</v>
      </c>
      <c r="I3" s="41" t="s">
        <v>65</v>
      </c>
      <c r="J3" s="40" t="s">
        <v>109</v>
      </c>
      <c r="K3" s="38" t="s">
        <v>2</v>
      </c>
      <c r="L3" s="40" t="s">
        <v>306</v>
      </c>
    </row>
    <row r="4" spans="1:12" ht="25.5">
      <c r="A4" s="264"/>
      <c r="B4" s="269" t="s">
        <v>218</v>
      </c>
      <c r="C4" s="269" t="s">
        <v>218</v>
      </c>
      <c r="D4" s="266"/>
      <c r="E4" s="263" t="s">
        <v>15</v>
      </c>
      <c r="F4" s="269" t="s">
        <v>218</v>
      </c>
      <c r="G4" s="264" t="s">
        <v>16</v>
      </c>
      <c r="H4" s="264" t="s">
        <v>17</v>
      </c>
      <c r="I4" s="267"/>
      <c r="J4" s="265" t="s">
        <v>18</v>
      </c>
      <c r="K4" s="269" t="s">
        <v>218</v>
      </c>
      <c r="L4" s="265" t="s">
        <v>108</v>
      </c>
    </row>
    <row r="5" spans="1:14" ht="39" thickBot="1">
      <c r="A5" s="4" t="s">
        <v>184</v>
      </c>
      <c r="B5" s="203">
        <v>50</v>
      </c>
      <c r="C5" s="204">
        <v>1</v>
      </c>
      <c r="D5" s="274">
        <v>2</v>
      </c>
      <c r="E5" s="278">
        <f>B5*C5/D5</f>
        <v>25</v>
      </c>
      <c r="F5" s="204">
        <v>1</v>
      </c>
      <c r="G5" s="278">
        <f>F5/D5</f>
        <v>0.5</v>
      </c>
      <c r="H5" s="278">
        <f>E5+G5</f>
        <v>25.5</v>
      </c>
      <c r="I5" s="205">
        <v>40</v>
      </c>
      <c r="J5" s="289">
        <f>H5*I5</f>
        <v>1020</v>
      </c>
      <c r="K5" s="206">
        <v>1</v>
      </c>
      <c r="L5" s="293">
        <f>J5*K5</f>
        <v>1020</v>
      </c>
      <c r="N5" s="298"/>
    </row>
    <row r="6" spans="1:12" ht="39" thickBot="1">
      <c r="A6" s="6" t="s">
        <v>22</v>
      </c>
      <c r="B6" s="203">
        <v>30</v>
      </c>
      <c r="C6" s="204">
        <v>1</v>
      </c>
      <c r="D6" s="274">
        <v>3</v>
      </c>
      <c r="E6" s="278">
        <f>B6*C6/D6</f>
        <v>10</v>
      </c>
      <c r="F6" s="204">
        <v>5</v>
      </c>
      <c r="G6" s="278">
        <f>F6/D6</f>
        <v>1.6666666666666667</v>
      </c>
      <c r="H6" s="278">
        <f>E6+G6</f>
        <v>11.666666666666666</v>
      </c>
      <c r="I6" s="205">
        <v>12</v>
      </c>
      <c r="J6" s="289">
        <f>H6*I6</f>
        <v>140</v>
      </c>
      <c r="K6" s="206">
        <v>0.9</v>
      </c>
      <c r="L6" s="293">
        <f>J6*K6</f>
        <v>126</v>
      </c>
    </row>
    <row r="7" spans="1:12" ht="39" thickBot="1">
      <c r="A7" s="6" t="s">
        <v>21</v>
      </c>
      <c r="B7" s="203">
        <v>100</v>
      </c>
      <c r="C7" s="204">
        <v>1.5</v>
      </c>
      <c r="D7" s="274">
        <v>3</v>
      </c>
      <c r="E7" s="278">
        <f>B7*C7/D7</f>
        <v>50</v>
      </c>
      <c r="F7" s="204">
        <v>6</v>
      </c>
      <c r="G7" s="278">
        <f>F7/D7</f>
        <v>2</v>
      </c>
      <c r="H7" s="278">
        <f>E7+G7</f>
        <v>52</v>
      </c>
      <c r="I7" s="205">
        <v>12</v>
      </c>
      <c r="J7" s="289">
        <f>H7*I7</f>
        <v>624</v>
      </c>
      <c r="K7" s="206">
        <v>1</v>
      </c>
      <c r="L7" s="293">
        <f>J7*K7</f>
        <v>624</v>
      </c>
    </row>
    <row r="8" spans="1:12" ht="51.75" thickBot="1">
      <c r="A8" s="6" t="s">
        <v>20</v>
      </c>
      <c r="B8" s="203">
        <v>0</v>
      </c>
      <c r="C8" s="204">
        <v>0</v>
      </c>
      <c r="D8" s="274">
        <v>4</v>
      </c>
      <c r="E8" s="278">
        <f>B8*C8/D8</f>
        <v>0</v>
      </c>
      <c r="F8" s="204">
        <v>1</v>
      </c>
      <c r="G8" s="278">
        <f>F8/D8</f>
        <v>0.25</v>
      </c>
      <c r="H8" s="278">
        <f>E8+G8</f>
        <v>0.25</v>
      </c>
      <c r="I8" s="205">
        <v>40</v>
      </c>
      <c r="J8" s="289">
        <f>H8*I8</f>
        <v>10</v>
      </c>
      <c r="K8" s="206">
        <v>1</v>
      </c>
      <c r="L8" s="293">
        <f>J8*K8</f>
        <v>10</v>
      </c>
    </row>
    <row r="9" spans="1:12" ht="12.75">
      <c r="A9" s="344" t="s">
        <v>185</v>
      </c>
      <c r="B9" s="334"/>
      <c r="C9" s="334"/>
      <c r="D9" s="346"/>
      <c r="E9" s="332"/>
      <c r="F9" s="334"/>
      <c r="G9" s="336"/>
      <c r="H9" s="336"/>
      <c r="I9" s="348"/>
      <c r="J9" s="350"/>
      <c r="K9" s="352"/>
      <c r="L9" s="294">
        <f>SUM(L5:L8)</f>
        <v>1780</v>
      </c>
    </row>
    <row r="10" spans="1:12" ht="64.5" thickBot="1">
      <c r="A10" s="345"/>
      <c r="B10" s="335"/>
      <c r="C10" s="335"/>
      <c r="D10" s="347"/>
      <c r="E10" s="333"/>
      <c r="F10" s="335"/>
      <c r="G10" s="337"/>
      <c r="H10" s="337"/>
      <c r="I10" s="349"/>
      <c r="J10" s="351"/>
      <c r="K10" s="353"/>
      <c r="L10" s="207" t="s">
        <v>4</v>
      </c>
    </row>
    <row r="11" spans="1:12" ht="39" thickBot="1">
      <c r="A11" s="198" t="s">
        <v>5</v>
      </c>
      <c r="B11" s="208">
        <v>30</v>
      </c>
      <c r="C11" s="208">
        <v>1</v>
      </c>
      <c r="D11" s="275">
        <v>8</v>
      </c>
      <c r="E11" s="279">
        <f>B11*C11/D11</f>
        <v>3.75</v>
      </c>
      <c r="F11" s="208">
        <v>1</v>
      </c>
      <c r="G11" s="282">
        <f aca="true" t="shared" si="0" ref="G11:G16">F11/D11</f>
        <v>0.125</v>
      </c>
      <c r="H11" s="283">
        <f aca="true" t="shared" si="1" ref="H11:H16">E11+G11</f>
        <v>3.875</v>
      </c>
      <c r="I11" s="209">
        <v>1000</v>
      </c>
      <c r="J11" s="290">
        <f>H11*I11</f>
        <v>3875</v>
      </c>
      <c r="K11" s="210">
        <v>0.9</v>
      </c>
      <c r="L11" s="295">
        <f aca="true" t="shared" si="2" ref="L11:L19">J11*K11</f>
        <v>3487.5</v>
      </c>
    </row>
    <row r="12" spans="1:12" ht="13.5" thickBot="1">
      <c r="A12" s="1" t="s">
        <v>6</v>
      </c>
      <c r="B12" s="204">
        <v>20</v>
      </c>
      <c r="C12" s="204">
        <v>1</v>
      </c>
      <c r="D12" s="274">
        <v>20</v>
      </c>
      <c r="E12" s="279">
        <f>B12*C12/D12</f>
        <v>1</v>
      </c>
      <c r="F12" s="204">
        <v>0</v>
      </c>
      <c r="G12" s="282">
        <f t="shared" si="0"/>
        <v>0</v>
      </c>
      <c r="H12" s="283">
        <f t="shared" si="1"/>
        <v>1</v>
      </c>
      <c r="I12" s="205">
        <v>2000</v>
      </c>
      <c r="J12" s="289">
        <f>SUM(H12*I12)</f>
        <v>2000</v>
      </c>
      <c r="K12" s="206">
        <v>1</v>
      </c>
      <c r="L12" s="295">
        <f t="shared" si="2"/>
        <v>2000</v>
      </c>
    </row>
    <row r="13" spans="1:12" ht="13.5" thickBot="1">
      <c r="A13" s="1" t="s">
        <v>186</v>
      </c>
      <c r="B13" s="204">
        <v>30</v>
      </c>
      <c r="C13" s="204">
        <v>1</v>
      </c>
      <c r="D13" s="274">
        <v>5</v>
      </c>
      <c r="E13" s="279">
        <f>B13*C13/D13</f>
        <v>6</v>
      </c>
      <c r="F13" s="204">
        <v>5</v>
      </c>
      <c r="G13" s="282">
        <f t="shared" si="0"/>
        <v>1</v>
      </c>
      <c r="H13" s="283">
        <f t="shared" si="1"/>
        <v>7</v>
      </c>
      <c r="I13" s="205">
        <v>800</v>
      </c>
      <c r="J13" s="289">
        <f>SUM(H13*I13)</f>
        <v>5600</v>
      </c>
      <c r="K13" s="206">
        <v>0.8</v>
      </c>
      <c r="L13" s="295">
        <f t="shared" si="2"/>
        <v>4480</v>
      </c>
    </row>
    <row r="14" spans="1:12" ht="13.5" thickBot="1">
      <c r="A14" s="1" t="s">
        <v>187</v>
      </c>
      <c r="B14" s="204">
        <v>100</v>
      </c>
      <c r="C14" s="204">
        <v>1.5</v>
      </c>
      <c r="D14" s="274">
        <v>5</v>
      </c>
      <c r="E14" s="279">
        <f>B14*C14/D14</f>
        <v>30</v>
      </c>
      <c r="F14" s="204">
        <v>5</v>
      </c>
      <c r="G14" s="282">
        <f t="shared" si="0"/>
        <v>1</v>
      </c>
      <c r="H14" s="283">
        <f t="shared" si="1"/>
        <v>31</v>
      </c>
      <c r="I14" s="205">
        <v>1000</v>
      </c>
      <c r="J14" s="289">
        <f>SUM(H14*I14)</f>
        <v>31000</v>
      </c>
      <c r="K14" s="206">
        <v>1</v>
      </c>
      <c r="L14" s="295">
        <f t="shared" si="2"/>
        <v>31000</v>
      </c>
    </row>
    <row r="15" spans="1:12" ht="26.25" thickBot="1">
      <c r="A15" s="198" t="s">
        <v>9</v>
      </c>
      <c r="B15" s="208">
        <v>0</v>
      </c>
      <c r="C15" s="208">
        <v>0</v>
      </c>
      <c r="D15" s="275">
        <v>20</v>
      </c>
      <c r="E15" s="279">
        <f>B15*C15/D15</f>
        <v>0</v>
      </c>
      <c r="F15" s="208">
        <v>1</v>
      </c>
      <c r="G15" s="282">
        <f t="shared" si="0"/>
        <v>0.05</v>
      </c>
      <c r="H15" s="283">
        <f t="shared" si="1"/>
        <v>0.05</v>
      </c>
      <c r="I15" s="209">
        <v>2000</v>
      </c>
      <c r="J15" s="290">
        <f>SUM(H15*I15)</f>
        <v>100</v>
      </c>
      <c r="K15" s="210">
        <v>0.8</v>
      </c>
      <c r="L15" s="295">
        <f t="shared" si="2"/>
        <v>80</v>
      </c>
    </row>
    <row r="16" spans="1:12" ht="26.25" thickBot="1">
      <c r="A16" s="1" t="s">
        <v>10</v>
      </c>
      <c r="B16" s="211"/>
      <c r="C16" s="211"/>
      <c r="D16" s="274">
        <v>20</v>
      </c>
      <c r="E16" s="280"/>
      <c r="F16" s="204">
        <v>1</v>
      </c>
      <c r="G16" s="282">
        <f t="shared" si="0"/>
        <v>0.05</v>
      </c>
      <c r="H16" s="283">
        <f t="shared" si="1"/>
        <v>0.05</v>
      </c>
      <c r="I16" s="212">
        <v>10000</v>
      </c>
      <c r="J16" s="291">
        <f>SUM(H16*I16)</f>
        <v>500</v>
      </c>
      <c r="K16" s="206">
        <v>0.9</v>
      </c>
      <c r="L16" s="295">
        <f t="shared" si="2"/>
        <v>450</v>
      </c>
    </row>
    <row r="17" spans="1:12" ht="51.75" thickBot="1">
      <c r="A17" s="3" t="s">
        <v>11</v>
      </c>
      <c r="B17" s="204">
        <v>100</v>
      </c>
      <c r="C17" s="204">
        <v>2</v>
      </c>
      <c r="D17" s="274">
        <v>25</v>
      </c>
      <c r="E17" s="278">
        <f>B17*C17/D17</f>
        <v>8</v>
      </c>
      <c r="F17" s="213"/>
      <c r="G17" s="284"/>
      <c r="H17" s="284"/>
      <c r="I17" s="205">
        <v>250</v>
      </c>
      <c r="J17" s="291">
        <f>E17*I17</f>
        <v>2000</v>
      </c>
      <c r="K17" s="206">
        <v>1</v>
      </c>
      <c r="L17" s="295">
        <f t="shared" si="2"/>
        <v>2000</v>
      </c>
    </row>
    <row r="18" spans="1:12" ht="77.25" thickBot="1">
      <c r="A18" s="3" t="s">
        <v>293</v>
      </c>
      <c r="B18" s="214"/>
      <c r="C18" s="213"/>
      <c r="D18" s="274">
        <v>20</v>
      </c>
      <c r="E18" s="280"/>
      <c r="F18" s="203">
        <v>20</v>
      </c>
      <c r="G18" s="285">
        <f>F18/D18</f>
        <v>1</v>
      </c>
      <c r="H18" s="284"/>
      <c r="I18" s="205">
        <v>1000</v>
      </c>
      <c r="J18" s="291">
        <f>G18*I18</f>
        <v>1000</v>
      </c>
      <c r="K18" s="206">
        <v>1</v>
      </c>
      <c r="L18" s="295">
        <f t="shared" si="2"/>
        <v>1000</v>
      </c>
    </row>
    <row r="19" spans="1:12" ht="12" customHeight="1">
      <c r="A19" s="321" t="s">
        <v>12</v>
      </c>
      <c r="B19" s="331">
        <v>100</v>
      </c>
      <c r="C19" s="331">
        <v>1</v>
      </c>
      <c r="D19" s="342">
        <v>20</v>
      </c>
      <c r="E19" s="341">
        <f>B19*C19/D19</f>
        <v>5</v>
      </c>
      <c r="F19" s="340">
        <v>3</v>
      </c>
      <c r="G19" s="338">
        <f>F19/D19</f>
        <v>0.15</v>
      </c>
      <c r="H19" s="329">
        <f>E19+G19</f>
        <v>5.15</v>
      </c>
      <c r="I19" s="328">
        <v>200</v>
      </c>
      <c r="J19" s="326">
        <f>H19*I19</f>
        <v>1030</v>
      </c>
      <c r="K19" s="325">
        <v>1</v>
      </c>
      <c r="L19" s="323">
        <f t="shared" si="2"/>
        <v>1030</v>
      </c>
    </row>
    <row r="20" spans="1:12" ht="13.5" thickBot="1">
      <c r="A20" s="322"/>
      <c r="B20" s="322"/>
      <c r="C20" s="322"/>
      <c r="D20" s="343"/>
      <c r="E20" s="330"/>
      <c r="F20" s="322"/>
      <c r="G20" s="339"/>
      <c r="H20" s="330"/>
      <c r="I20" s="322"/>
      <c r="J20" s="327"/>
      <c r="K20" s="322"/>
      <c r="L20" s="324"/>
    </row>
    <row r="21" spans="1:12" ht="26.25" thickBot="1">
      <c r="A21" s="2" t="s">
        <v>13</v>
      </c>
      <c r="B21" s="216">
        <v>100</v>
      </c>
      <c r="C21" s="216">
        <v>1.25</v>
      </c>
      <c r="D21" s="276">
        <v>20</v>
      </c>
      <c r="E21" s="281">
        <f>B21*C21/D21</f>
        <v>6.25</v>
      </c>
      <c r="F21" s="217">
        <v>3</v>
      </c>
      <c r="G21" s="286">
        <f aca="true" t="shared" si="3" ref="G21:G28">F21/D21</f>
        <v>0.15</v>
      </c>
      <c r="H21" s="287">
        <f aca="true" t="shared" si="4" ref="H21:H26">E21+G21</f>
        <v>6.4</v>
      </c>
      <c r="I21" s="218">
        <v>200</v>
      </c>
      <c r="J21" s="290">
        <f aca="true" t="shared" si="5" ref="J21:J28">H21*I21</f>
        <v>1280</v>
      </c>
      <c r="K21" s="219">
        <v>1</v>
      </c>
      <c r="L21" s="296">
        <f>J21*K21</f>
        <v>1280</v>
      </c>
    </row>
    <row r="22" spans="1:12" ht="26.25" thickBot="1">
      <c r="A22" s="198" t="s">
        <v>305</v>
      </c>
      <c r="B22" s="208">
        <v>50</v>
      </c>
      <c r="C22" s="208">
        <v>4</v>
      </c>
      <c r="D22" s="275">
        <v>1.5</v>
      </c>
      <c r="E22" s="281">
        <f aca="true" t="shared" si="6" ref="E22:E28">B22*C22/D22</f>
        <v>133.33333333333334</v>
      </c>
      <c r="F22" s="208">
        <v>0</v>
      </c>
      <c r="G22" s="279">
        <f t="shared" si="3"/>
        <v>0</v>
      </c>
      <c r="H22" s="288">
        <f t="shared" si="4"/>
        <v>133.33333333333334</v>
      </c>
      <c r="I22" s="224">
        <v>0.2</v>
      </c>
      <c r="J22" s="292">
        <f t="shared" si="5"/>
        <v>26.66666666666667</v>
      </c>
      <c r="K22" s="223">
        <v>1</v>
      </c>
      <c r="L22" s="296">
        <f aca="true" t="shared" si="7" ref="L22:L28">J22*K22</f>
        <v>26.66666666666667</v>
      </c>
    </row>
    <row r="23" spans="1:12" ht="39" thickBot="1">
      <c r="A23" s="198" t="s">
        <v>311</v>
      </c>
      <c r="B23" s="215">
        <v>0</v>
      </c>
      <c r="C23" s="215">
        <v>0</v>
      </c>
      <c r="D23" s="275">
        <v>5</v>
      </c>
      <c r="E23" s="281">
        <f t="shared" si="6"/>
        <v>0</v>
      </c>
      <c r="F23" s="208">
        <v>130</v>
      </c>
      <c r="G23" s="279">
        <f t="shared" si="3"/>
        <v>26</v>
      </c>
      <c r="H23" s="288">
        <f t="shared" si="4"/>
        <v>26</v>
      </c>
      <c r="I23" s="224">
        <v>0.75</v>
      </c>
      <c r="J23" s="292">
        <f t="shared" si="5"/>
        <v>19.5</v>
      </c>
      <c r="K23" s="223">
        <v>1</v>
      </c>
      <c r="L23" s="296">
        <f t="shared" si="7"/>
        <v>19.5</v>
      </c>
    </row>
    <row r="24" spans="1:12" ht="39" thickBot="1">
      <c r="A24" s="200" t="s">
        <v>308</v>
      </c>
      <c r="B24" s="220">
        <v>20</v>
      </c>
      <c r="C24" s="220">
        <v>1</v>
      </c>
      <c r="D24" s="277">
        <v>3</v>
      </c>
      <c r="E24" s="281">
        <f t="shared" si="6"/>
        <v>6.666666666666667</v>
      </c>
      <c r="F24" s="221">
        <v>25</v>
      </c>
      <c r="G24" s="279">
        <f t="shared" si="3"/>
        <v>8.333333333333334</v>
      </c>
      <c r="H24" s="288">
        <f t="shared" si="4"/>
        <v>15</v>
      </c>
      <c r="I24" s="222">
        <v>30</v>
      </c>
      <c r="J24" s="292">
        <f t="shared" si="5"/>
        <v>450</v>
      </c>
      <c r="K24" s="223">
        <v>1</v>
      </c>
      <c r="L24" s="296">
        <f t="shared" si="7"/>
        <v>450</v>
      </c>
    </row>
    <row r="25" spans="1:12" ht="13.5" thickBot="1">
      <c r="A25" s="200" t="s">
        <v>307</v>
      </c>
      <c r="B25" s="220">
        <v>20</v>
      </c>
      <c r="C25" s="220">
        <v>1</v>
      </c>
      <c r="D25" s="277">
        <v>3</v>
      </c>
      <c r="E25" s="281">
        <f t="shared" si="6"/>
        <v>6.666666666666667</v>
      </c>
      <c r="F25" s="221">
        <v>25</v>
      </c>
      <c r="G25" s="279">
        <f t="shared" si="3"/>
        <v>8.333333333333334</v>
      </c>
      <c r="H25" s="288">
        <f t="shared" si="4"/>
        <v>15</v>
      </c>
      <c r="I25" s="222">
        <v>20</v>
      </c>
      <c r="J25" s="292">
        <f t="shared" si="5"/>
        <v>300</v>
      </c>
      <c r="K25" s="223">
        <v>1</v>
      </c>
      <c r="L25" s="296">
        <f t="shared" si="7"/>
        <v>300</v>
      </c>
    </row>
    <row r="26" spans="1:12" ht="13.5" thickBot="1">
      <c r="A26" s="200" t="s">
        <v>309</v>
      </c>
      <c r="B26" s="220">
        <v>3</v>
      </c>
      <c r="C26" s="220">
        <v>1</v>
      </c>
      <c r="D26" s="277">
        <v>3</v>
      </c>
      <c r="E26" s="281">
        <f t="shared" si="6"/>
        <v>1</v>
      </c>
      <c r="F26" s="221">
        <v>8</v>
      </c>
      <c r="G26" s="279">
        <f t="shared" si="3"/>
        <v>2.6666666666666665</v>
      </c>
      <c r="H26" s="288">
        <f t="shared" si="4"/>
        <v>3.6666666666666665</v>
      </c>
      <c r="I26" s="222">
        <v>7</v>
      </c>
      <c r="J26" s="292">
        <f t="shared" si="5"/>
        <v>25.666666666666664</v>
      </c>
      <c r="K26" s="223">
        <v>1</v>
      </c>
      <c r="L26" s="296">
        <f t="shared" si="7"/>
        <v>25.666666666666664</v>
      </c>
    </row>
    <row r="27" spans="1:12" ht="13.5" thickBot="1">
      <c r="A27" s="200" t="s">
        <v>310</v>
      </c>
      <c r="B27" s="220">
        <v>80</v>
      </c>
      <c r="C27" s="220">
        <v>1</v>
      </c>
      <c r="D27" s="277">
        <v>7</v>
      </c>
      <c r="E27" s="281">
        <f t="shared" si="6"/>
        <v>11.428571428571429</v>
      </c>
      <c r="F27" s="221">
        <v>3</v>
      </c>
      <c r="G27" s="279">
        <f t="shared" si="3"/>
        <v>0.42857142857142855</v>
      </c>
      <c r="H27" s="287">
        <f>SUM(E27+G27)</f>
        <v>11.857142857142858</v>
      </c>
      <c r="I27" s="222">
        <v>50</v>
      </c>
      <c r="J27" s="292">
        <f t="shared" si="5"/>
        <v>592.8571428571429</v>
      </c>
      <c r="K27" s="223">
        <v>1</v>
      </c>
      <c r="L27" s="296">
        <f t="shared" si="7"/>
        <v>592.8571428571429</v>
      </c>
    </row>
    <row r="28" spans="1:12" ht="39" thickBot="1">
      <c r="A28" s="14" t="s">
        <v>34</v>
      </c>
      <c r="B28" s="220">
        <v>50</v>
      </c>
      <c r="C28" s="220">
        <v>1</v>
      </c>
      <c r="D28" s="277">
        <v>3</v>
      </c>
      <c r="E28" s="281">
        <f t="shared" si="6"/>
        <v>16.666666666666668</v>
      </c>
      <c r="F28" s="221">
        <v>20</v>
      </c>
      <c r="G28" s="279">
        <f t="shared" si="3"/>
        <v>6.666666666666667</v>
      </c>
      <c r="H28" s="287">
        <f>SUM(E28+G28)</f>
        <v>23.333333333333336</v>
      </c>
      <c r="I28" s="222">
        <v>50</v>
      </c>
      <c r="J28" s="292">
        <f t="shared" si="5"/>
        <v>1166.6666666666667</v>
      </c>
      <c r="K28" s="223">
        <v>1</v>
      </c>
      <c r="L28" s="296">
        <f t="shared" si="7"/>
        <v>1166.6666666666667</v>
      </c>
    </row>
    <row r="29" spans="1:12" ht="12" thickBot="1">
      <c r="A29" s="225" t="s">
        <v>312</v>
      </c>
      <c r="B29" s="226"/>
      <c r="C29" s="226"/>
      <c r="D29" s="226"/>
      <c r="E29" s="227"/>
      <c r="F29" s="226"/>
      <c r="G29" s="226"/>
      <c r="H29" s="226"/>
      <c r="I29" s="228"/>
      <c r="J29" s="228"/>
      <c r="K29" s="226"/>
      <c r="L29" s="297">
        <f>SUM(L11:L28,L5:L8)</f>
        <v>51168.85714285714</v>
      </c>
    </row>
  </sheetData>
  <sheetProtection/>
  <mergeCells count="24">
    <mergeCell ref="A1:L1"/>
    <mergeCell ref="C19:C20"/>
    <mergeCell ref="D19:D20"/>
    <mergeCell ref="A9:A10"/>
    <mergeCell ref="B9:B10"/>
    <mergeCell ref="C9:C10"/>
    <mergeCell ref="D9:D10"/>
    <mergeCell ref="I9:I10"/>
    <mergeCell ref="J9:J10"/>
    <mergeCell ref="K9:K10"/>
    <mergeCell ref="E9:E10"/>
    <mergeCell ref="F9:F10"/>
    <mergeCell ref="G9:G10"/>
    <mergeCell ref="H9:H10"/>
    <mergeCell ref="G19:G20"/>
    <mergeCell ref="F19:F20"/>
    <mergeCell ref="E19:E20"/>
    <mergeCell ref="A19:A20"/>
    <mergeCell ref="L19:L20"/>
    <mergeCell ref="K19:K20"/>
    <mergeCell ref="J19:J20"/>
    <mergeCell ref="I19:I20"/>
    <mergeCell ref="H19:H20"/>
    <mergeCell ref="B19:B20"/>
  </mergeCells>
  <printOptions/>
  <pageMargins left="0.75" right="0.75" top="1" bottom="1" header="0.5" footer="0.5"/>
  <pageSetup horizontalDpi="1200" verticalDpi="1200" orientation="portrait"/>
  <drawing r:id="rId3"/>
  <legacyDrawing r:id="rId2"/>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selection activeCell="A9" sqref="A9"/>
    </sheetView>
  </sheetViews>
  <sheetFormatPr defaultColWidth="8.7109375" defaultRowHeight="12.75"/>
  <cols>
    <col min="1" max="1" width="15.421875" style="0" customWidth="1"/>
    <col min="2" max="2" width="8.7109375" style="0" customWidth="1"/>
    <col min="3" max="3" width="13.00390625" style="0" customWidth="1"/>
    <col min="4" max="4" width="13.140625" style="0" customWidth="1"/>
    <col min="5" max="6" width="8.7109375" style="0" customWidth="1"/>
    <col min="7" max="7" width="9.7109375" style="0" customWidth="1"/>
    <col min="8" max="8" width="14.7109375" style="0" customWidth="1"/>
    <col min="9" max="9" width="12.421875" style="0" customWidth="1"/>
    <col min="10" max="10" width="13.7109375" style="0" customWidth="1"/>
  </cols>
  <sheetData>
    <row r="1" spans="1:10" ht="17.25" thickBot="1">
      <c r="A1" s="316" t="s">
        <v>209</v>
      </c>
      <c r="B1" s="316"/>
      <c r="C1" s="316"/>
      <c r="D1" s="316"/>
      <c r="E1" s="316"/>
      <c r="F1" s="316"/>
      <c r="G1" s="316"/>
      <c r="H1" s="316"/>
      <c r="I1" s="316"/>
      <c r="J1" s="316"/>
    </row>
    <row r="2" spans="1:10" ht="12" thickBot="1">
      <c r="A2" s="6" t="s">
        <v>179</v>
      </c>
      <c r="B2" s="148" t="s">
        <v>53</v>
      </c>
      <c r="C2" s="6" t="s">
        <v>54</v>
      </c>
      <c r="D2" s="148" t="s">
        <v>56</v>
      </c>
      <c r="E2" s="6" t="s">
        <v>58</v>
      </c>
      <c r="F2" s="148" t="s">
        <v>60</v>
      </c>
      <c r="G2" s="149" t="s">
        <v>62</v>
      </c>
      <c r="H2" s="149" t="s">
        <v>64</v>
      </c>
      <c r="I2" s="150" t="s">
        <v>66</v>
      </c>
      <c r="J2" s="151" t="s">
        <v>67</v>
      </c>
    </row>
    <row r="3" spans="1:10" ht="105" customHeight="1">
      <c r="A3" s="356" t="s">
        <v>210</v>
      </c>
      <c r="B3" s="354" t="s">
        <v>211</v>
      </c>
      <c r="C3" s="354" t="s">
        <v>212</v>
      </c>
      <c r="D3" s="354" t="s">
        <v>213</v>
      </c>
      <c r="E3" s="354" t="s">
        <v>214</v>
      </c>
      <c r="F3" s="354" t="s">
        <v>215</v>
      </c>
      <c r="G3" s="354" t="s">
        <v>216</v>
      </c>
      <c r="H3" s="354" t="s">
        <v>295</v>
      </c>
      <c r="I3" s="354" t="s">
        <v>289</v>
      </c>
      <c r="J3" s="354" t="s">
        <v>217</v>
      </c>
    </row>
    <row r="4" spans="1:10" ht="12" thickBot="1">
      <c r="A4" s="357"/>
      <c r="B4" s="355"/>
      <c r="C4" s="355"/>
      <c r="D4" s="355"/>
      <c r="E4" s="355"/>
      <c r="F4" s="355"/>
      <c r="G4" s="355"/>
      <c r="H4" s="355"/>
      <c r="I4" s="355"/>
      <c r="J4" s="355"/>
    </row>
    <row r="5" spans="1:10" ht="41.25" thickBot="1">
      <c r="A5" s="357"/>
      <c r="B5" s="122" t="s">
        <v>218</v>
      </c>
      <c r="C5" s="122" t="s">
        <v>218</v>
      </c>
      <c r="D5" s="116" t="s">
        <v>219</v>
      </c>
      <c r="E5" s="122" t="s">
        <v>252</v>
      </c>
      <c r="F5" s="122" t="s">
        <v>253</v>
      </c>
      <c r="G5" s="122" t="s">
        <v>254</v>
      </c>
      <c r="H5" s="122" t="s">
        <v>255</v>
      </c>
      <c r="I5" s="122" t="s">
        <v>218</v>
      </c>
      <c r="J5" s="122" t="s">
        <v>318</v>
      </c>
    </row>
    <row r="6" spans="1:10" ht="15" thickBot="1">
      <c r="A6" s="358"/>
      <c r="B6" s="123">
        <v>100</v>
      </c>
      <c r="C6" s="123">
        <v>10</v>
      </c>
      <c r="D6" s="124">
        <v>5</v>
      </c>
      <c r="E6" s="124">
        <f>C6*D6</f>
        <v>50</v>
      </c>
      <c r="F6" s="125">
        <f>E6*365</f>
        <v>18250</v>
      </c>
      <c r="G6" s="125">
        <f>F6*0.4</f>
        <v>7300</v>
      </c>
      <c r="H6" s="124">
        <f>C6*0.53</f>
        <v>5.300000000000001</v>
      </c>
      <c r="I6" s="123">
        <v>1</v>
      </c>
      <c r="J6" s="126">
        <f>(E6*0.4)/(B6*I6)</f>
        <v>0.2</v>
      </c>
    </row>
    <row r="13" ht="12">
      <c r="D13">
        <f>50*0.4/100*1+I25</f>
        <v>0.2</v>
      </c>
    </row>
  </sheetData>
  <sheetProtection/>
  <mergeCells count="11">
    <mergeCell ref="H3:H4"/>
    <mergeCell ref="I3:I4"/>
    <mergeCell ref="J3:J4"/>
    <mergeCell ref="A1:J1"/>
    <mergeCell ref="A3:A6"/>
    <mergeCell ref="B3:B4"/>
    <mergeCell ref="C3:C4"/>
    <mergeCell ref="D3:D4"/>
    <mergeCell ref="E3:E4"/>
    <mergeCell ref="F3:F4"/>
    <mergeCell ref="G3: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N1"/>
    </sheetView>
  </sheetViews>
  <sheetFormatPr defaultColWidth="8.7109375" defaultRowHeight="12.75"/>
  <cols>
    <col min="1" max="1" width="11.7109375" style="0" customWidth="1"/>
    <col min="2" max="10" width="8.7109375" style="0" customWidth="1"/>
    <col min="11" max="11" width="10.421875" style="0" customWidth="1"/>
    <col min="12" max="13" width="8.7109375" style="0" customWidth="1"/>
    <col min="14" max="14" width="12.7109375" style="0" customWidth="1"/>
  </cols>
  <sheetData>
    <row r="1" spans="1:14" ht="16.5">
      <c r="A1" s="317" t="s">
        <v>220</v>
      </c>
      <c r="B1" s="317"/>
      <c r="C1" s="317"/>
      <c r="D1" s="317"/>
      <c r="E1" s="317"/>
      <c r="F1" s="317"/>
      <c r="G1" s="317"/>
      <c r="H1" s="317"/>
      <c r="I1" s="317"/>
      <c r="J1" s="317"/>
      <c r="K1" s="359"/>
      <c r="L1" s="359"/>
      <c r="M1" s="359"/>
      <c r="N1" s="359"/>
    </row>
    <row r="2" spans="1:14" ht="17.25" thickBot="1">
      <c r="A2" s="127"/>
      <c r="B2" s="360" t="s">
        <v>221</v>
      </c>
      <c r="C2" s="360"/>
      <c r="D2" s="360"/>
      <c r="E2" s="360"/>
      <c r="F2" s="360"/>
      <c r="G2" s="360"/>
      <c r="H2" s="360" t="s">
        <v>225</v>
      </c>
      <c r="I2" s="360"/>
      <c r="J2" s="360"/>
      <c r="K2" s="360"/>
      <c r="L2" s="360" t="s">
        <v>226</v>
      </c>
      <c r="M2" s="360"/>
      <c r="N2" s="360"/>
    </row>
    <row r="3" spans="1:14" ht="24.75" thickBot="1">
      <c r="A3" s="105" t="s">
        <v>179</v>
      </c>
      <c r="B3" s="106" t="s">
        <v>53</v>
      </c>
      <c r="C3" s="105" t="s">
        <v>54</v>
      </c>
      <c r="D3" s="106" t="s">
        <v>56</v>
      </c>
      <c r="E3" s="105" t="s">
        <v>58</v>
      </c>
      <c r="F3" s="106" t="s">
        <v>60</v>
      </c>
      <c r="G3" s="107" t="s">
        <v>62</v>
      </c>
      <c r="H3" s="107" t="s">
        <v>64</v>
      </c>
      <c r="I3" s="108" t="s">
        <v>66</v>
      </c>
      <c r="J3" s="109" t="s">
        <v>67</v>
      </c>
      <c r="K3" s="109" t="s">
        <v>3</v>
      </c>
      <c r="L3" s="109" t="s">
        <v>19</v>
      </c>
      <c r="M3" s="109" t="s">
        <v>256</v>
      </c>
      <c r="N3" s="109" t="s">
        <v>257</v>
      </c>
    </row>
    <row r="4" spans="1:14" ht="72.75" customHeight="1">
      <c r="A4" s="363" t="s">
        <v>227</v>
      </c>
      <c r="B4" s="361" t="s">
        <v>228</v>
      </c>
      <c r="C4" s="361" t="s">
        <v>229</v>
      </c>
      <c r="D4" s="361" t="s">
        <v>230</v>
      </c>
      <c r="E4" s="361" t="s">
        <v>231</v>
      </c>
      <c r="F4" s="361" t="s">
        <v>232</v>
      </c>
      <c r="G4" s="361" t="s">
        <v>233</v>
      </c>
      <c r="H4" s="362" t="s">
        <v>234</v>
      </c>
      <c r="I4" s="361" t="s">
        <v>231</v>
      </c>
      <c r="J4" s="361" t="s">
        <v>232</v>
      </c>
      <c r="K4" s="361" t="s">
        <v>235</v>
      </c>
      <c r="L4" s="361" t="s">
        <v>236</v>
      </c>
      <c r="M4" s="361" t="s">
        <v>237</v>
      </c>
      <c r="N4" s="361" t="s">
        <v>238</v>
      </c>
    </row>
    <row r="5" spans="1:14" ht="12">
      <c r="A5" s="363"/>
      <c r="B5" s="361"/>
      <c r="C5" s="361"/>
      <c r="D5" s="361"/>
      <c r="E5" s="361"/>
      <c r="F5" s="361"/>
      <c r="G5" s="361"/>
      <c r="H5" s="362"/>
      <c r="I5" s="361"/>
      <c r="J5" s="361"/>
      <c r="K5" s="361"/>
      <c r="L5" s="361"/>
      <c r="M5" s="361"/>
      <c r="N5" s="361"/>
    </row>
    <row r="6" spans="1:14" ht="12">
      <c r="A6" s="363"/>
      <c r="B6" s="361"/>
      <c r="C6" s="361"/>
      <c r="D6" s="361"/>
      <c r="E6" s="361"/>
      <c r="F6" s="361"/>
      <c r="G6" s="361"/>
      <c r="H6" s="362"/>
      <c r="I6" s="361"/>
      <c r="J6" s="361"/>
      <c r="K6" s="361"/>
      <c r="L6" s="361"/>
      <c r="M6" s="361"/>
      <c r="N6" s="361"/>
    </row>
    <row r="7" spans="1:14" ht="12">
      <c r="A7" s="363"/>
      <c r="B7" s="361"/>
      <c r="C7" s="361"/>
      <c r="D7" s="361"/>
      <c r="E7" s="361"/>
      <c r="F7" s="361"/>
      <c r="G7" s="361"/>
      <c r="H7" s="362"/>
      <c r="I7" s="361"/>
      <c r="J7" s="361"/>
      <c r="K7" s="361"/>
      <c r="L7" s="361"/>
      <c r="M7" s="361"/>
      <c r="N7" s="361"/>
    </row>
    <row r="8" spans="1:14" ht="12">
      <c r="A8" s="363"/>
      <c r="B8" s="361"/>
      <c r="C8" s="361"/>
      <c r="D8" s="361"/>
      <c r="E8" s="361"/>
      <c r="F8" s="361"/>
      <c r="G8" s="361"/>
      <c r="H8" s="362"/>
      <c r="I8" s="361"/>
      <c r="J8" s="361"/>
      <c r="K8" s="361"/>
      <c r="L8" s="361"/>
      <c r="M8" s="361"/>
      <c r="N8" s="361"/>
    </row>
    <row r="9" spans="1:14" ht="24.75">
      <c r="A9" s="128"/>
      <c r="B9" s="129" t="s">
        <v>218</v>
      </c>
      <c r="C9" s="129" t="s">
        <v>218</v>
      </c>
      <c r="D9" s="129" t="s">
        <v>258</v>
      </c>
      <c r="E9" s="129" t="s">
        <v>218</v>
      </c>
      <c r="F9" s="129" t="s">
        <v>218</v>
      </c>
      <c r="G9" s="129" t="s">
        <v>259</v>
      </c>
      <c r="H9" s="129" t="s">
        <v>218</v>
      </c>
      <c r="I9" s="129" t="s">
        <v>218</v>
      </c>
      <c r="J9" s="129" t="s">
        <v>218</v>
      </c>
      <c r="K9" s="129" t="s">
        <v>260</v>
      </c>
      <c r="L9" s="129" t="s">
        <v>261</v>
      </c>
      <c r="M9" s="314" t="s">
        <v>319</v>
      </c>
      <c r="N9" s="130" t="s">
        <v>262</v>
      </c>
    </row>
    <row r="10" spans="1:14" ht="12">
      <c r="A10" s="131" t="s">
        <v>240</v>
      </c>
      <c r="B10" s="132">
        <v>0</v>
      </c>
      <c r="C10" s="132">
        <v>0</v>
      </c>
      <c r="D10" s="133">
        <f>B10*C10</f>
        <v>0</v>
      </c>
      <c r="E10" s="132">
        <v>0</v>
      </c>
      <c r="F10" s="132">
        <v>0</v>
      </c>
      <c r="G10" s="133">
        <f>D10*E10*F10</f>
        <v>0</v>
      </c>
      <c r="H10" s="132">
        <v>0</v>
      </c>
      <c r="I10" s="132">
        <v>0</v>
      </c>
      <c r="J10" s="132">
        <v>0</v>
      </c>
      <c r="K10" s="133">
        <f>H10*I10*J10</f>
        <v>0</v>
      </c>
      <c r="L10" s="133">
        <f>G10+K10</f>
        <v>0</v>
      </c>
      <c r="M10" s="133">
        <f>L10/4</f>
        <v>0</v>
      </c>
      <c r="N10" s="134">
        <f>M10*1000000</f>
        <v>0</v>
      </c>
    </row>
    <row r="11" spans="1:14" ht="24">
      <c r="A11" s="131" t="s">
        <v>241</v>
      </c>
      <c r="B11" s="132">
        <v>0</v>
      </c>
      <c r="C11" s="132">
        <v>0</v>
      </c>
      <c r="D11" s="133">
        <f>B11*C11</f>
        <v>0</v>
      </c>
      <c r="E11" s="132">
        <v>0</v>
      </c>
      <c r="F11" s="132">
        <v>0</v>
      </c>
      <c r="G11" s="133">
        <f>D11*E11*F11</f>
        <v>0</v>
      </c>
      <c r="H11" s="132">
        <v>0</v>
      </c>
      <c r="I11" s="132">
        <v>0</v>
      </c>
      <c r="J11" s="132">
        <v>0</v>
      </c>
      <c r="K11" s="133">
        <f>H11*I11*J11</f>
        <v>0</v>
      </c>
      <c r="L11" s="133">
        <f>G11+K11</f>
        <v>0</v>
      </c>
      <c r="M11" s="133">
        <f>L11/4</f>
        <v>0</v>
      </c>
      <c r="N11" s="134">
        <f>M11*1000000</f>
        <v>0</v>
      </c>
    </row>
    <row r="12" spans="1:14" ht="12">
      <c r="A12" s="131" t="s">
        <v>242</v>
      </c>
      <c r="B12" s="132">
        <v>0</v>
      </c>
      <c r="C12" s="132">
        <v>0</v>
      </c>
      <c r="D12" s="133">
        <f>B12*C12</f>
        <v>0</v>
      </c>
      <c r="E12" s="132">
        <v>0</v>
      </c>
      <c r="F12" s="132">
        <v>0</v>
      </c>
      <c r="G12" s="133">
        <f>D12*E12*F12</f>
        <v>0</v>
      </c>
      <c r="H12" s="132">
        <v>0</v>
      </c>
      <c r="I12" s="132">
        <v>0</v>
      </c>
      <c r="J12" s="132">
        <v>0</v>
      </c>
      <c r="K12" s="133">
        <f>H12*I12*J12</f>
        <v>0</v>
      </c>
      <c r="L12" s="133">
        <f>G12+K12</f>
        <v>0</v>
      </c>
      <c r="M12" s="133">
        <f>L12/4</f>
        <v>0</v>
      </c>
      <c r="N12" s="134">
        <f>M12*1000000</f>
        <v>0</v>
      </c>
    </row>
    <row r="13" spans="1:14" ht="24">
      <c r="A13" s="131" t="s">
        <v>243</v>
      </c>
      <c r="B13" s="132">
        <v>0</v>
      </c>
      <c r="C13" s="132">
        <v>0</v>
      </c>
      <c r="D13" s="133">
        <f>B13*C13</f>
        <v>0</v>
      </c>
      <c r="E13" s="132">
        <v>0</v>
      </c>
      <c r="F13" s="132">
        <v>0</v>
      </c>
      <c r="G13" s="133">
        <f>D13*E13*F13</f>
        <v>0</v>
      </c>
      <c r="H13" s="132">
        <v>0</v>
      </c>
      <c r="I13" s="132">
        <v>0</v>
      </c>
      <c r="J13" s="132">
        <v>0</v>
      </c>
      <c r="K13" s="133">
        <f>H13*I13*J13</f>
        <v>0</v>
      </c>
      <c r="L13" s="133">
        <f>G13+K13</f>
        <v>0</v>
      </c>
      <c r="M13" s="133">
        <f>L13/4</f>
        <v>0</v>
      </c>
      <c r="N13" s="134">
        <f>M13*1000000</f>
        <v>0</v>
      </c>
    </row>
    <row r="14" spans="1:14" ht="24">
      <c r="A14" s="131" t="s">
        <v>10</v>
      </c>
      <c r="B14" s="132">
        <v>0</v>
      </c>
      <c r="C14" s="132">
        <v>0</v>
      </c>
      <c r="D14" s="133">
        <f>B14*C14</f>
        <v>0</v>
      </c>
      <c r="E14" s="132">
        <v>0</v>
      </c>
      <c r="F14" s="132">
        <v>0</v>
      </c>
      <c r="G14" s="133">
        <f>D14*E14*F14</f>
        <v>0</v>
      </c>
      <c r="H14" s="132">
        <v>0</v>
      </c>
      <c r="I14" s="132">
        <v>0</v>
      </c>
      <c r="J14" s="132">
        <v>0</v>
      </c>
      <c r="K14" s="133">
        <f>H14*I14*J14</f>
        <v>0</v>
      </c>
      <c r="L14" s="133">
        <f>G14+K14</f>
        <v>0</v>
      </c>
      <c r="M14" s="133">
        <f>L14/4</f>
        <v>0</v>
      </c>
      <c r="N14" s="134">
        <f>M14*1000000</f>
        <v>0</v>
      </c>
    </row>
    <row r="15" spans="1:14" ht="13.5">
      <c r="A15" s="135" t="s">
        <v>244</v>
      </c>
      <c r="B15" s="136"/>
      <c r="C15" s="136"/>
      <c r="D15" s="137">
        <f>SUM(D10:D14)</f>
        <v>0</v>
      </c>
      <c r="E15" s="138"/>
      <c r="F15" s="138"/>
      <c r="G15" s="139">
        <f>SUM(G10:G14)</f>
        <v>0</v>
      </c>
      <c r="H15" s="137"/>
      <c r="I15" s="138"/>
      <c r="J15" s="138"/>
      <c r="K15" s="137">
        <f>SUM(K10:K14)</f>
        <v>0</v>
      </c>
      <c r="L15" s="139">
        <f>SUM(L10:L14)</f>
        <v>0</v>
      </c>
      <c r="M15" s="139">
        <f>SUM(M10:M14)</f>
        <v>0</v>
      </c>
      <c r="N15" s="140">
        <f>SUM(N10:N14)</f>
        <v>0</v>
      </c>
    </row>
  </sheetData>
  <sheetProtection/>
  <mergeCells count="18">
    <mergeCell ref="C4:C8"/>
    <mergeCell ref="D4:D8"/>
    <mergeCell ref="M4:M8"/>
    <mergeCell ref="N4:N8"/>
    <mergeCell ref="I4:I8"/>
    <mergeCell ref="J4:J8"/>
    <mergeCell ref="K4:K8"/>
    <mergeCell ref="L4:L8"/>
    <mergeCell ref="A1:N1"/>
    <mergeCell ref="B2:G2"/>
    <mergeCell ref="H2:K2"/>
    <mergeCell ref="L2:N2"/>
    <mergeCell ref="E4:E8"/>
    <mergeCell ref="F4:F8"/>
    <mergeCell ref="G4:G8"/>
    <mergeCell ref="H4:H8"/>
    <mergeCell ref="A4:A8"/>
    <mergeCell ref="B4:B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15"/>
  <sheetViews>
    <sheetView zoomScalePageLayoutView="0" workbookViewId="0" topLeftCell="A1">
      <selection activeCell="L22" sqref="L22"/>
    </sheetView>
  </sheetViews>
  <sheetFormatPr defaultColWidth="8.7109375" defaultRowHeight="12.75"/>
  <cols>
    <col min="1" max="1" width="13.00390625" style="0" customWidth="1"/>
    <col min="2" max="2" width="10.140625" style="0" customWidth="1"/>
    <col min="3" max="6" width="8.7109375" style="0" customWidth="1"/>
    <col min="7" max="7" width="10.140625" style="0" customWidth="1"/>
    <col min="8" max="9" width="8.7109375" style="0" customWidth="1"/>
    <col min="10" max="10" width="10.421875" style="0" customWidth="1"/>
  </cols>
  <sheetData>
    <row r="1" spans="1:11" ht="16.5">
      <c r="A1" s="317" t="s">
        <v>245</v>
      </c>
      <c r="B1" s="317"/>
      <c r="C1" s="317"/>
      <c r="D1" s="317"/>
      <c r="E1" s="317"/>
      <c r="F1" s="317"/>
      <c r="G1" s="317"/>
      <c r="H1" s="317"/>
      <c r="I1" s="317"/>
      <c r="J1" s="317"/>
      <c r="K1" s="359"/>
    </row>
    <row r="2" spans="1:11" ht="17.25" thickBot="1">
      <c r="A2" s="141"/>
      <c r="B2" s="364" t="s">
        <v>221</v>
      </c>
      <c r="C2" s="365"/>
      <c r="D2" s="365"/>
      <c r="E2" s="365"/>
      <c r="F2" s="366"/>
      <c r="G2" s="364" t="s">
        <v>225</v>
      </c>
      <c r="H2" s="367"/>
      <c r="I2" s="367"/>
      <c r="J2" s="368"/>
      <c r="K2" s="142" t="s">
        <v>144</v>
      </c>
    </row>
    <row r="3" spans="1:11" ht="12" thickBot="1">
      <c r="A3" s="152" t="s">
        <v>179</v>
      </c>
      <c r="B3" s="153" t="s">
        <v>53</v>
      </c>
      <c r="C3" s="152" t="s">
        <v>54</v>
      </c>
      <c r="D3" s="153" t="s">
        <v>56</v>
      </c>
      <c r="E3" s="152" t="s">
        <v>58</v>
      </c>
      <c r="F3" s="153" t="s">
        <v>60</v>
      </c>
      <c r="G3" s="154" t="s">
        <v>62</v>
      </c>
      <c r="H3" s="154" t="s">
        <v>64</v>
      </c>
      <c r="I3" s="155" t="s">
        <v>66</v>
      </c>
      <c r="J3" s="156" t="s">
        <v>67</v>
      </c>
      <c r="K3" s="156" t="s">
        <v>3</v>
      </c>
    </row>
    <row r="4" spans="1:11" ht="72" customHeight="1">
      <c r="A4" s="369" t="s">
        <v>246</v>
      </c>
      <c r="B4" s="370" t="s">
        <v>247</v>
      </c>
      <c r="C4" s="370" t="s">
        <v>248</v>
      </c>
      <c r="D4" s="370" t="s">
        <v>44</v>
      </c>
      <c r="E4" s="370" t="s">
        <v>231</v>
      </c>
      <c r="F4" s="370" t="s">
        <v>233</v>
      </c>
      <c r="G4" s="370" t="s">
        <v>249</v>
      </c>
      <c r="H4" s="370" t="s">
        <v>45</v>
      </c>
      <c r="I4" s="370" t="s">
        <v>250</v>
      </c>
      <c r="J4" s="370" t="s">
        <v>251</v>
      </c>
      <c r="K4" s="370" t="s">
        <v>236</v>
      </c>
    </row>
    <row r="5" spans="1:11" ht="12">
      <c r="A5" s="369"/>
      <c r="B5" s="370"/>
      <c r="C5" s="370"/>
      <c r="D5" s="370"/>
      <c r="E5" s="370"/>
      <c r="F5" s="370"/>
      <c r="G5" s="370"/>
      <c r="H5" s="370"/>
      <c r="I5" s="370"/>
      <c r="J5" s="370"/>
      <c r="K5" s="370"/>
    </row>
    <row r="6" spans="1:11" ht="12">
      <c r="A6" s="369"/>
      <c r="B6" s="370"/>
      <c r="C6" s="370"/>
      <c r="D6" s="370"/>
      <c r="E6" s="370"/>
      <c r="F6" s="370"/>
      <c r="G6" s="370"/>
      <c r="H6" s="370"/>
      <c r="I6" s="370"/>
      <c r="J6" s="370"/>
      <c r="K6" s="370"/>
    </row>
    <row r="7" spans="1:11" ht="12">
      <c r="A7" s="369"/>
      <c r="B7" s="370"/>
      <c r="C7" s="370"/>
      <c r="D7" s="370"/>
      <c r="E7" s="370"/>
      <c r="F7" s="370"/>
      <c r="G7" s="370"/>
      <c r="H7" s="370"/>
      <c r="I7" s="370"/>
      <c r="J7" s="370"/>
      <c r="K7" s="370"/>
    </row>
    <row r="8" spans="1:11" ht="12">
      <c r="A8" s="369"/>
      <c r="B8" s="370"/>
      <c r="C8" s="370"/>
      <c r="D8" s="370"/>
      <c r="E8" s="370"/>
      <c r="F8" s="370"/>
      <c r="G8" s="370"/>
      <c r="H8" s="370"/>
      <c r="I8" s="370"/>
      <c r="J8" s="370"/>
      <c r="K8" s="370"/>
    </row>
    <row r="9" spans="1:11" ht="16.5">
      <c r="A9" s="143"/>
      <c r="B9" s="144" t="s">
        <v>218</v>
      </c>
      <c r="C9" s="144" t="s">
        <v>218</v>
      </c>
      <c r="D9" s="144" t="s">
        <v>218</v>
      </c>
      <c r="E9" s="144" t="s">
        <v>218</v>
      </c>
      <c r="F9" s="144" t="s">
        <v>263</v>
      </c>
      <c r="G9" s="144" t="s">
        <v>218</v>
      </c>
      <c r="H9" s="144" t="s">
        <v>218</v>
      </c>
      <c r="I9" s="144" t="s">
        <v>218</v>
      </c>
      <c r="J9" s="144" t="s">
        <v>264</v>
      </c>
      <c r="K9" s="103" t="s">
        <v>239</v>
      </c>
    </row>
    <row r="10" spans="1:11" ht="12" thickBot="1">
      <c r="A10" s="131" t="s">
        <v>240</v>
      </c>
      <c r="B10" s="181">
        <v>0</v>
      </c>
      <c r="C10" s="181">
        <v>0</v>
      </c>
      <c r="D10" s="132">
        <v>0</v>
      </c>
      <c r="E10" s="132">
        <v>0</v>
      </c>
      <c r="F10" s="145">
        <f>B10*C10*D10*E10</f>
        <v>0</v>
      </c>
      <c r="G10" s="132">
        <v>0</v>
      </c>
      <c r="H10" s="132">
        <v>0</v>
      </c>
      <c r="I10" s="132">
        <v>0</v>
      </c>
      <c r="J10" s="145">
        <f>G10*H10*I10</f>
        <v>0</v>
      </c>
      <c r="K10" s="133">
        <f>F10+J10</f>
        <v>0</v>
      </c>
    </row>
    <row r="11" spans="1:11" ht="24.75" thickBot="1">
      <c r="A11" s="131" t="s">
        <v>241</v>
      </c>
      <c r="B11" s="181">
        <v>0</v>
      </c>
      <c r="C11" s="181">
        <v>0</v>
      </c>
      <c r="D11" s="132">
        <v>0</v>
      </c>
      <c r="E11" s="132">
        <v>0</v>
      </c>
      <c r="F11" s="145">
        <f>B11*C11*D11*E11</f>
        <v>0</v>
      </c>
      <c r="G11" s="132">
        <v>0</v>
      </c>
      <c r="H11" s="132">
        <v>0</v>
      </c>
      <c r="I11" s="132">
        <v>0</v>
      </c>
      <c r="J11" s="145">
        <f>G11*H11*I11</f>
        <v>0</v>
      </c>
      <c r="K11" s="133">
        <f>F11+J11</f>
        <v>0</v>
      </c>
    </row>
    <row r="12" spans="1:11" ht="12" thickBot="1">
      <c r="A12" s="131" t="s">
        <v>242</v>
      </c>
      <c r="B12" s="181">
        <v>0</v>
      </c>
      <c r="C12" s="181">
        <v>0</v>
      </c>
      <c r="D12" s="132">
        <v>0</v>
      </c>
      <c r="E12" s="132">
        <v>0</v>
      </c>
      <c r="F12" s="145">
        <f>B12*C12*D12*E12</f>
        <v>0</v>
      </c>
      <c r="G12" s="132">
        <v>0</v>
      </c>
      <c r="H12" s="132">
        <v>0</v>
      </c>
      <c r="I12" s="132">
        <v>0</v>
      </c>
      <c r="J12" s="145">
        <f>G12*H12*I12</f>
        <v>0</v>
      </c>
      <c r="K12" s="133">
        <f>F12+J12</f>
        <v>0</v>
      </c>
    </row>
    <row r="13" spans="1:11" ht="24.75" thickBot="1">
      <c r="A13" s="131" t="s">
        <v>243</v>
      </c>
      <c r="B13" s="181">
        <v>0</v>
      </c>
      <c r="C13" s="181">
        <v>0</v>
      </c>
      <c r="D13" s="132">
        <v>0</v>
      </c>
      <c r="E13" s="132">
        <v>0</v>
      </c>
      <c r="F13" s="145">
        <f>B13*C13*D13*E13</f>
        <v>0</v>
      </c>
      <c r="G13" s="132">
        <v>0</v>
      </c>
      <c r="H13" s="132">
        <v>0</v>
      </c>
      <c r="I13" s="132">
        <v>0</v>
      </c>
      <c r="J13" s="145">
        <f>G13*H13*I13</f>
        <v>0</v>
      </c>
      <c r="K13" s="133">
        <f>F13+J13</f>
        <v>0</v>
      </c>
    </row>
    <row r="14" spans="1:11" ht="24.75" thickBot="1">
      <c r="A14" s="131" t="s">
        <v>10</v>
      </c>
      <c r="B14" s="181">
        <v>0</v>
      </c>
      <c r="C14" s="181">
        <v>0</v>
      </c>
      <c r="D14" s="132">
        <v>0</v>
      </c>
      <c r="E14" s="132">
        <v>0</v>
      </c>
      <c r="F14" s="145">
        <f>B14*C14*D14*E14</f>
        <v>0</v>
      </c>
      <c r="G14" s="132">
        <v>0</v>
      </c>
      <c r="H14" s="132">
        <v>0</v>
      </c>
      <c r="I14" s="132">
        <v>0</v>
      </c>
      <c r="J14" s="145">
        <f>G14*H14*I14</f>
        <v>0</v>
      </c>
      <c r="K14" s="133">
        <f>F14+J14</f>
        <v>0</v>
      </c>
    </row>
    <row r="15" spans="1:11" ht="13.5">
      <c r="A15" s="135" t="s">
        <v>244</v>
      </c>
      <c r="B15" s="136"/>
      <c r="C15" s="136"/>
      <c r="D15" s="136"/>
      <c r="E15" s="138"/>
      <c r="F15" s="146">
        <f>SUM(F10:F14)</f>
        <v>0</v>
      </c>
      <c r="G15" s="138"/>
      <c r="H15" s="138"/>
      <c r="I15" s="138"/>
      <c r="J15" s="147">
        <f>SUM(J10:J14)</f>
        <v>0</v>
      </c>
      <c r="K15" s="147">
        <f>SUM(K10:K14)</f>
        <v>0</v>
      </c>
    </row>
  </sheetData>
  <sheetProtection/>
  <mergeCells count="14">
    <mergeCell ref="H4:H8"/>
    <mergeCell ref="I4:I8"/>
    <mergeCell ref="J4:J8"/>
    <mergeCell ref="K4:K8"/>
    <mergeCell ref="A1:K1"/>
    <mergeCell ref="B2:F2"/>
    <mergeCell ref="G2:J2"/>
    <mergeCell ref="A4:A8"/>
    <mergeCell ref="B4:B8"/>
    <mergeCell ref="C4:C8"/>
    <mergeCell ref="D4:D8"/>
    <mergeCell ref="E4:E8"/>
    <mergeCell ref="F4:F8"/>
    <mergeCell ref="G4:G8"/>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J10"/>
  <sheetViews>
    <sheetView zoomScalePageLayoutView="0" workbookViewId="0" topLeftCell="A1">
      <selection activeCell="I18" sqref="I18"/>
    </sheetView>
  </sheetViews>
  <sheetFormatPr defaultColWidth="8.7109375" defaultRowHeight="12.75"/>
  <cols>
    <col min="1" max="1" width="18.28125" style="0" customWidth="1"/>
    <col min="2" max="2" width="13.140625" style="0" customWidth="1"/>
    <col min="3" max="3" width="15.7109375" style="0" customWidth="1"/>
    <col min="4" max="4" width="13.28125" style="0" customWidth="1"/>
    <col min="5" max="5" width="12.28125" style="0" customWidth="1"/>
    <col min="6" max="6" width="10.7109375" style="0" customWidth="1"/>
    <col min="7" max="7" width="11.28125" style="0" customWidth="1"/>
    <col min="8" max="8" width="10.28125" style="0" customWidth="1"/>
    <col min="9" max="9" width="16.140625" style="23" customWidth="1"/>
    <col min="10" max="10" width="15.140625" style="0" customWidth="1"/>
  </cols>
  <sheetData>
    <row r="1" spans="1:10" ht="12.75">
      <c r="A1" s="371" t="s">
        <v>273</v>
      </c>
      <c r="B1" s="372"/>
      <c r="C1" s="372"/>
      <c r="D1" s="372"/>
      <c r="E1" s="372"/>
      <c r="F1" s="372"/>
      <c r="G1" s="372"/>
      <c r="H1" s="372"/>
      <c r="I1" s="372"/>
      <c r="J1" s="359"/>
    </row>
    <row r="2" spans="1:10" ht="43.5" customHeight="1" thickBot="1">
      <c r="A2" s="372"/>
      <c r="B2" s="372"/>
      <c r="C2" s="372"/>
      <c r="D2" s="372"/>
      <c r="E2" s="372"/>
      <c r="F2" s="372"/>
      <c r="G2" s="372"/>
      <c r="H2" s="372"/>
      <c r="I2" s="372"/>
      <c r="J2" s="359"/>
    </row>
    <row r="3" spans="1:10" ht="12.75">
      <c r="A3" s="157" t="s">
        <v>179</v>
      </c>
      <c r="B3" s="158" t="s">
        <v>53</v>
      </c>
      <c r="C3" s="157" t="s">
        <v>54</v>
      </c>
      <c r="D3" s="158" t="s">
        <v>56</v>
      </c>
      <c r="E3" s="157" t="s">
        <v>58</v>
      </c>
      <c r="F3" s="158" t="s">
        <v>60</v>
      </c>
      <c r="G3" s="159" t="s">
        <v>62</v>
      </c>
      <c r="H3" s="159" t="s">
        <v>64</v>
      </c>
      <c r="I3" s="161" t="s">
        <v>66</v>
      </c>
      <c r="J3" s="161" t="s">
        <v>67</v>
      </c>
    </row>
    <row r="4" spans="1:10" ht="106.5" customHeight="1">
      <c r="A4" s="165" t="s">
        <v>286</v>
      </c>
      <c r="B4" s="165" t="s">
        <v>287</v>
      </c>
      <c r="C4" s="165" t="s">
        <v>276</v>
      </c>
      <c r="D4" s="165" t="s">
        <v>265</v>
      </c>
      <c r="E4" s="165" t="s">
        <v>277</v>
      </c>
      <c r="F4" s="165" t="s">
        <v>266</v>
      </c>
      <c r="G4" s="165" t="s">
        <v>267</v>
      </c>
      <c r="H4" s="169" t="s">
        <v>268</v>
      </c>
      <c r="I4" s="165" t="s">
        <v>280</v>
      </c>
      <c r="J4" s="165" t="s">
        <v>288</v>
      </c>
    </row>
    <row r="5" spans="1:10" ht="91.5" customHeight="1">
      <c r="A5" s="165"/>
      <c r="B5" s="270" t="s">
        <v>279</v>
      </c>
      <c r="C5" s="270" t="s">
        <v>279</v>
      </c>
      <c r="D5" s="270" t="s">
        <v>279</v>
      </c>
      <c r="E5" s="270" t="s">
        <v>278</v>
      </c>
      <c r="F5" s="270" t="s">
        <v>279</v>
      </c>
      <c r="G5" s="270" t="s">
        <v>284</v>
      </c>
      <c r="H5" s="271" t="s">
        <v>283</v>
      </c>
      <c r="I5" s="272" t="s">
        <v>281</v>
      </c>
      <c r="J5" s="172" t="s">
        <v>285</v>
      </c>
    </row>
    <row r="6" spans="1:10" ht="25.5">
      <c r="A6" s="160" t="s">
        <v>274</v>
      </c>
      <c r="B6" s="166">
        <v>0</v>
      </c>
      <c r="C6" s="166">
        <v>0</v>
      </c>
      <c r="D6" s="166">
        <v>0</v>
      </c>
      <c r="E6" s="167">
        <f>C6*D6</f>
        <v>0</v>
      </c>
      <c r="F6" s="166">
        <v>0</v>
      </c>
      <c r="G6" s="167">
        <f>B6+E6+F6</f>
        <v>0</v>
      </c>
      <c r="H6" s="170">
        <f>G6/30</f>
        <v>0</v>
      </c>
      <c r="I6" s="168">
        <f>H6*J6</f>
        <v>0</v>
      </c>
      <c r="J6" s="168">
        <v>0.2</v>
      </c>
    </row>
    <row r="7" spans="1:10" ht="12.75">
      <c r="A7" s="160" t="s">
        <v>269</v>
      </c>
      <c r="B7" s="166">
        <v>0</v>
      </c>
      <c r="C7" s="166">
        <v>0</v>
      </c>
      <c r="D7" s="166">
        <v>0</v>
      </c>
      <c r="E7" s="167">
        <f>C7*D7</f>
        <v>0</v>
      </c>
      <c r="F7" s="166">
        <v>0</v>
      </c>
      <c r="G7" s="167">
        <f>B7+E7+F7</f>
        <v>0</v>
      </c>
      <c r="H7" s="170">
        <f>G7*0.08</f>
        <v>0</v>
      </c>
      <c r="I7" s="168">
        <f>H7*J7</f>
        <v>0</v>
      </c>
      <c r="J7" s="168">
        <v>0.015</v>
      </c>
    </row>
    <row r="8" spans="1:10" ht="12.75">
      <c r="A8" s="160" t="s">
        <v>270</v>
      </c>
      <c r="B8" s="166">
        <v>0</v>
      </c>
      <c r="C8" s="166">
        <v>0</v>
      </c>
      <c r="D8" s="166">
        <v>0</v>
      </c>
      <c r="E8" s="167">
        <f>C8*D8</f>
        <v>0</v>
      </c>
      <c r="F8" s="166">
        <v>0</v>
      </c>
      <c r="G8" s="167">
        <f>B8+E8+F8</f>
        <v>0</v>
      </c>
      <c r="H8" s="170">
        <f>G8*0.02</f>
        <v>0</v>
      </c>
      <c r="I8" s="168">
        <f>H8*J8</f>
        <v>0</v>
      </c>
      <c r="J8" s="168">
        <v>0</v>
      </c>
    </row>
    <row r="9" spans="1:10" ht="38.25">
      <c r="A9" s="160" t="s">
        <v>275</v>
      </c>
      <c r="B9" s="166">
        <v>0</v>
      </c>
      <c r="C9" s="166">
        <v>0</v>
      </c>
      <c r="D9" s="166">
        <v>0</v>
      </c>
      <c r="E9" s="167">
        <f>C9*D9</f>
        <v>0</v>
      </c>
      <c r="F9" s="166">
        <v>0</v>
      </c>
      <c r="G9" s="167">
        <f>B9+E9+F9</f>
        <v>0</v>
      </c>
      <c r="H9" s="170">
        <f>G9*2</f>
        <v>0</v>
      </c>
      <c r="I9" s="168">
        <f>H9*J9</f>
        <v>0</v>
      </c>
      <c r="J9" s="168">
        <v>0.026</v>
      </c>
    </row>
    <row r="10" spans="1:10" ht="25.5">
      <c r="A10" s="162" t="s">
        <v>282</v>
      </c>
      <c r="B10" s="163"/>
      <c r="C10" s="163"/>
      <c r="D10" s="164"/>
      <c r="E10" s="163"/>
      <c r="F10" s="163"/>
      <c r="G10" s="163"/>
      <c r="H10" s="171"/>
      <c r="I10" s="173">
        <f>SUM(I6:I9)</f>
        <v>0</v>
      </c>
      <c r="J10" s="171"/>
    </row>
  </sheetData>
  <sheetProtection/>
  <mergeCells count="1">
    <mergeCell ref="A1:J2"/>
  </mergeCells>
  <printOptions/>
  <pageMargins left="0.75" right="0.75" top="1" bottom="1" header="0.5" footer="0.5"/>
  <pageSetup horizontalDpi="1200" verticalDpi="12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Shawna</dc:creator>
  <cp:keywords/>
  <dc:description/>
  <cp:lastModifiedBy>Simone Sebalo</cp:lastModifiedBy>
  <dcterms:created xsi:type="dcterms:W3CDTF">2008-03-04T22:45:09Z</dcterms:created>
  <dcterms:modified xsi:type="dcterms:W3CDTF">2021-01-07T16:11:38Z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97484461</vt:i4>
  </property>
  <property fmtid="{D5CDD505-2E9C-101B-9397-08002B2CF9AE}" pid="4" name="_EmailSubject">
    <vt:lpwstr>excel tables</vt:lpwstr>
  </property>
  <property fmtid="{D5CDD505-2E9C-101B-9397-08002B2CF9AE}" pid="5" name="_AuthorEmail">
    <vt:lpwstr>lzender@zendergroup.org</vt:lpwstr>
  </property>
  <property fmtid="{D5CDD505-2E9C-101B-9397-08002B2CF9AE}" pid="6" name="_AuthorEmailDisplayName">
    <vt:lpwstr>Dr. Lynn Zender</vt:lpwstr>
  </property>
  <property fmtid="{D5CDD505-2E9C-101B-9397-08002B2CF9AE}" pid="7" name="_ReviewingToolsShownOnce">
    <vt:lpwstr/>
  </property>
</Properties>
</file>